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Tax Doctor\Desktop\"/>
    </mc:Choice>
  </mc:AlternateContent>
  <xr:revisionPtr revIDLastSave="0" documentId="8_{BEA5FB33-79C5-4024-AA77-B28985843702}" xr6:coauthVersionLast="47" xr6:coauthVersionMax="47" xr10:uidLastSave="{00000000-0000-0000-0000-000000000000}"/>
  <bookViews>
    <workbookView xWindow="-108" yWindow="-108" windowWidth="23256" windowHeight="12720" xr2:uid="{870E2CD3-A65D-4838-9957-7BE0F29DF03F}"/>
  </bookViews>
  <sheets>
    <sheet name="7" sheetId="1" r:id="rId1"/>
  </sheets>
  <externalReferences>
    <externalReference r:id="rId2"/>
  </externalReferences>
  <definedNames>
    <definedName name="newbasicPB4">[1]Sheet1!$T$4:$T$37</definedName>
    <definedName name="oldbasicPB4">[1]Sheet1!$S$4:$S$37</definedName>
    <definedName name="_xlnm.Print_Area" localSheetId="0">'7'!$J$1:$N$68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61" i="1" l="1"/>
  <c r="D157" i="1"/>
  <c r="D163" i="1" s="1"/>
  <c r="E121" i="1"/>
  <c r="E118" i="1"/>
  <c r="E110" i="1"/>
  <c r="B110" i="1"/>
  <c r="C96" i="1"/>
  <c r="C100" i="1" s="1"/>
  <c r="E108" i="1" s="1"/>
  <c r="G91" i="1"/>
  <c r="E117" i="1" s="1"/>
  <c r="E91" i="1"/>
  <c r="H65" i="1"/>
  <c r="M49" i="1"/>
  <c r="M48" i="1"/>
  <c r="F42" i="1"/>
  <c r="F31" i="1" s="1"/>
  <c r="G32" i="1" s="1"/>
  <c r="H35" i="1" s="1"/>
  <c r="H78" i="1" s="1"/>
  <c r="F41" i="1"/>
  <c r="F40" i="1"/>
  <c r="G43" i="1" s="1"/>
  <c r="D40" i="1"/>
  <c r="F39" i="1"/>
  <c r="D39" i="1"/>
  <c r="G34" i="1"/>
  <c r="N33" i="1"/>
  <c r="G33" i="1"/>
  <c r="C33" i="1"/>
  <c r="F32" i="1"/>
  <c r="L31" i="1"/>
  <c r="K31" i="1"/>
  <c r="G30" i="1"/>
  <c r="C30" i="1"/>
  <c r="G29" i="1"/>
  <c r="G27" i="1"/>
  <c r="G26" i="1"/>
  <c r="H27" i="1" s="1"/>
  <c r="H22" i="1"/>
  <c r="G22" i="1"/>
  <c r="F16" i="1"/>
  <c r="G13" i="1"/>
  <c r="E13" i="1"/>
  <c r="G12" i="1"/>
  <c r="G14" i="1" s="1"/>
  <c r="M8" i="1"/>
  <c r="G8" i="1" s="1"/>
  <c r="L8" i="1"/>
  <c r="G5" i="1"/>
  <c r="G4" i="1"/>
  <c r="G7" i="1" s="1"/>
  <c r="I2" i="1"/>
  <c r="A46" i="1" s="1"/>
  <c r="G44" i="1" l="1"/>
  <c r="L63" i="1"/>
  <c r="H46" i="1"/>
  <c r="H77" i="1"/>
  <c r="E50" i="1"/>
  <c r="G50" i="1" s="1"/>
  <c r="H75" i="1"/>
  <c r="G9" i="1"/>
  <c r="H10" i="1" s="1"/>
  <c r="F15" i="1"/>
  <c r="G16" i="1" s="1"/>
  <c r="H16" i="1" s="1"/>
  <c r="H76" i="1" s="1"/>
  <c r="E104" i="1"/>
  <c r="H37" i="1" l="1"/>
  <c r="E47" i="1" s="1"/>
  <c r="H47" i="1" s="1"/>
  <c r="L62" i="1"/>
  <c r="M63" i="1" s="1"/>
  <c r="M64" i="1" s="1"/>
  <c r="H79" i="1"/>
  <c r="H81" i="1" s="1"/>
  <c r="H82" i="1" l="1"/>
  <c r="H83" i="1" s="1"/>
  <c r="M66" i="1"/>
  <c r="M67" i="1" s="1"/>
  <c r="G52" i="1"/>
  <c r="E49" i="1"/>
  <c r="H84" i="1" l="1"/>
  <c r="H85" i="1"/>
  <c r="M50" i="1"/>
  <c r="M51" i="1" s="1"/>
  <c r="G49" i="1"/>
  <c r="G51" i="1" s="1"/>
  <c r="H52" i="1" s="1"/>
  <c r="H53" i="1" l="1"/>
  <c r="H54" i="1" s="1"/>
  <c r="H55" i="1" l="1"/>
  <c r="H56" i="1" s="1"/>
  <c r="G90" i="1" l="1"/>
  <c r="E116" i="1" l="1"/>
  <c r="G92" i="1"/>
  <c r="G93" i="1" s="1"/>
  <c r="E98" i="1" s="1"/>
  <c r="F98" i="1" s="1"/>
  <c r="G98" i="1" s="1"/>
  <c r="H98" i="1" s="1"/>
  <c r="E90" i="1"/>
  <c r="E92" i="1" s="1"/>
  <c r="E93" i="1" s="1"/>
  <c r="E103" i="1"/>
  <c r="E105" i="1" s="1"/>
  <c r="E107" i="1" l="1"/>
  <c r="E109" i="1"/>
  <c r="E96" i="1"/>
  <c r="F96" i="1" s="1"/>
  <c r="G96" i="1" s="1"/>
  <c r="H96" i="1" s="1"/>
  <c r="E97" i="1"/>
  <c r="F97" i="1" s="1"/>
  <c r="G97" i="1" s="1"/>
  <c r="H97" i="1" s="1"/>
  <c r="E95" i="1"/>
  <c r="F95" i="1" s="1"/>
  <c r="G95" i="1" s="1"/>
  <c r="H95" i="1" s="1"/>
  <c r="H100" i="1" s="1"/>
  <c r="K96" i="1" l="1"/>
  <c r="E119" i="1"/>
  <c r="F109" i="1"/>
  <c r="H103" i="1" s="1"/>
  <c r="H104" i="1" l="1"/>
  <c r="K97" i="1"/>
  <c r="K98" i="1"/>
  <c r="H105" i="1" l="1"/>
  <c r="H106" i="1"/>
  <c r="E120" i="1" l="1"/>
  <c r="E122" i="1" s="1"/>
  <c r="E123" i="1" s="1"/>
  <c r="H117" i="1" s="1"/>
  <c r="E111" i="1"/>
  <c r="E112" i="1" s="1"/>
  <c r="E113" i="1" s="1"/>
  <c r="F113" i="1" s="1"/>
  <c r="H107" i="1" s="1"/>
  <c r="H108" i="1" l="1"/>
  <c r="H109" i="1" s="1"/>
  <c r="H112" i="1"/>
  <c r="H118" i="1"/>
  <c r="H119" i="1" s="1"/>
  <c r="H122" i="1" l="1"/>
  <c r="H88" i="1"/>
  <c r="H57" i="1" s="1"/>
  <c r="H59" i="1" s="1"/>
  <c r="H66" i="1" s="1"/>
  <c r="B66" i="1" s="1"/>
  <c r="K119" i="1"/>
  <c r="K120" i="1" s="1"/>
  <c r="K121" i="1" s="1"/>
  <c r="K109" i="1"/>
  <c r="K110" i="1" s="1"/>
  <c r="K1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I2" authorId="0" shapeId="0" xr:uid="{7432E5D1-A00E-4673-B902-000FF0E5A808}">
      <text>
        <r>
          <rPr>
            <b/>
            <sz val="8"/>
            <color indexed="81"/>
            <rFont val="Tahoma"/>
            <family val="2"/>
          </rPr>
          <t>RATHORE:</t>
        </r>
        <r>
          <rPr>
            <sz val="8"/>
            <color indexed="81"/>
            <rFont val="Tahoma"/>
            <family val="2"/>
          </rPr>
          <t xml:space="preserve">
</t>
        </r>
      </text>
    </comment>
    <comment ref="C61" authorId="0" shapeId="0" xr:uid="{9256042B-349A-4F60-AEC7-F239F2BD7AE7}">
      <text>
        <r>
          <rPr>
            <b/>
            <sz val="8"/>
            <color indexed="81"/>
            <rFont val="Tahoma"/>
            <family val="2"/>
          </rPr>
          <t>RATHORE:</t>
        </r>
        <r>
          <rPr>
            <sz val="8"/>
            <color indexed="81"/>
            <rFont val="Tahoma"/>
            <family val="2"/>
          </rPr>
          <t xml:space="preserve">
</t>
        </r>
      </text>
    </comment>
    <comment ref="C62" authorId="0" shapeId="0" xr:uid="{1AC6453F-7E27-45AD-9EC4-E7F1F4A1DD0D}">
      <text>
        <r>
          <rPr>
            <b/>
            <sz val="8"/>
            <color indexed="81"/>
            <rFont val="Tahoma"/>
            <family val="2"/>
          </rPr>
          <t>RATHORE:</t>
        </r>
        <r>
          <rPr>
            <sz val="8"/>
            <color indexed="81"/>
            <rFont val="Tahoma"/>
            <family val="2"/>
          </rPr>
          <t xml:space="preserve">
</t>
        </r>
      </text>
    </comment>
    <comment ref="B66" authorId="0" shapeId="0" xr:uid="{6CEB9E44-2E6E-4EFC-B914-8D1FD10E2D1B}">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<sst xmlns="http://schemas.openxmlformats.org/spreadsheetml/2006/main" count="313" uniqueCount="280">
  <si>
    <t>Dr. V.K. Singhania's Book</t>
  </si>
  <si>
    <t xml:space="preserve">A S S E S S M E N T   Y E A R  :  2 0 2 1 - 2 2 </t>
  </si>
  <si>
    <t>Case-7  (Woman, Director, Unlisted Comp,  Two Houses, Capital Gain..)</t>
  </si>
  <si>
    <t>Filing Date</t>
  </si>
  <si>
    <t>65th  Edition:  August-2021</t>
  </si>
  <si>
    <t>Case Study-7</t>
  </si>
  <si>
    <t>Pgs  524-526</t>
  </si>
  <si>
    <t>Ms Niharika Vij</t>
  </si>
  <si>
    <t>Exempted</t>
  </si>
  <si>
    <r>
      <t xml:space="preserve">SALARIES </t>
    </r>
    <r>
      <rPr>
        <sz val="10"/>
        <color theme="1"/>
        <rFont val="Arial"/>
        <family val="2"/>
      </rPr>
      <t>U/S 15-17</t>
    </r>
  </si>
  <si>
    <t>Amount (Rs.)</t>
  </si>
  <si>
    <t xml:space="preserve">Basic Salary </t>
  </si>
  <si>
    <t xml:space="preserve">Due date </t>
  </si>
  <si>
    <t>Sec 17(1)</t>
  </si>
  <si>
    <t>Basic Salary and Allowances</t>
  </si>
  <si>
    <t xml:space="preserve">Commission </t>
  </si>
  <si>
    <t>Sec 17(2)</t>
  </si>
  <si>
    <t xml:space="preserve">Value of Perquisites </t>
  </si>
  <si>
    <t>ii</t>
  </si>
  <si>
    <t>Hostel Expenditure Allowance</t>
  </si>
  <si>
    <t>System Date</t>
  </si>
  <si>
    <t>Sec 17(3)</t>
  </si>
  <si>
    <t xml:space="preserve">Profit in lieu of Salary </t>
  </si>
  <si>
    <t xml:space="preserve">Leave Salary </t>
  </si>
  <si>
    <t xml:space="preserve">Gross Salary </t>
  </si>
  <si>
    <t>i</t>
  </si>
  <si>
    <t>Travelling Allowance</t>
  </si>
  <si>
    <t>Late Fees</t>
  </si>
  <si>
    <t>Sec 10</t>
  </si>
  <si>
    <t>Less Exempt Allowances (43600 + 12000)</t>
  </si>
  <si>
    <t>Jan-Mar 22</t>
  </si>
  <si>
    <t xml:space="preserve">Net Salary </t>
  </si>
  <si>
    <t xml:space="preserve">Leave Travel Concession </t>
  </si>
  <si>
    <t>Sec 16(ia)</t>
  </si>
  <si>
    <t>Less Standard  Deduction</t>
  </si>
  <si>
    <t xml:space="preserve">Perquisite (Personal Attendant) </t>
  </si>
  <si>
    <r>
      <t xml:space="preserve">HOUSE PROPERTY </t>
    </r>
    <r>
      <rPr>
        <sz val="10"/>
        <color theme="1"/>
        <rFont val="Arial"/>
        <family val="2"/>
      </rPr>
      <t>U/S 22-27</t>
    </r>
  </si>
  <si>
    <t>Indore - Let Out</t>
  </si>
  <si>
    <t>Indore</t>
  </si>
  <si>
    <t>Annual Value  (Let-Out)</t>
  </si>
  <si>
    <t>1800000*100/90</t>
  </si>
  <si>
    <t>Rent net of TDS @ 10%</t>
  </si>
  <si>
    <t xml:space="preserve">Less  Municipal Taxes Paid </t>
  </si>
  <si>
    <t>Municipal Taxes</t>
  </si>
  <si>
    <t>Paid by Assessee</t>
  </si>
  <si>
    <t>Sec 24</t>
  </si>
  <si>
    <t xml:space="preserve">LESS: Deductions </t>
  </si>
  <si>
    <t>Std Ded 30%</t>
  </si>
  <si>
    <t>Outstanding</t>
  </si>
  <si>
    <t xml:space="preserve">Intt on H  Loan </t>
  </si>
  <si>
    <t>Paid by Tenant</t>
  </si>
  <si>
    <t xml:space="preserve">Intt on Loan for renewal </t>
  </si>
  <si>
    <t xml:space="preserve">Kolkata </t>
  </si>
  <si>
    <t xml:space="preserve">Annual Value  (SOP) </t>
  </si>
  <si>
    <t xml:space="preserve">Nil </t>
  </si>
  <si>
    <t>Kolkata - Self Occupied</t>
  </si>
  <si>
    <t>Municipal  Taxes paid by Assessee</t>
  </si>
  <si>
    <t xml:space="preserve">NIL </t>
  </si>
  <si>
    <t>Municipal Taxes Outstanding</t>
  </si>
  <si>
    <t>Intt on Loan for purchase  (FY 2008-09)</t>
  </si>
  <si>
    <t>Fire Insurance Prem</t>
  </si>
  <si>
    <r>
      <t xml:space="preserve">CAPITAL GAINS </t>
    </r>
    <r>
      <rPr>
        <sz val="10"/>
        <color theme="1"/>
        <rFont val="Arial"/>
        <family val="2"/>
      </rPr>
      <t>U/S 45 - 55</t>
    </r>
  </si>
  <si>
    <t>Sale of Personal Diamonds on 20-02-21</t>
  </si>
  <si>
    <t>SHORT TERM CAPITAL GAIN</t>
  </si>
  <si>
    <t>Acq Cost (FY 1977-78)</t>
  </si>
  <si>
    <t xml:space="preserve">LONG TERM CAPITAL GAIN - Diamonds </t>
  </si>
  <si>
    <t>FMV as on 01-04-2001</t>
  </si>
  <si>
    <t xml:space="preserve">Sale Consideration </t>
  </si>
  <si>
    <t>FMV as on 01-04-1981</t>
  </si>
  <si>
    <t>CII = 301</t>
  </si>
  <si>
    <t xml:space="preserve">Less Indexed Acq Cost </t>
  </si>
  <si>
    <t xml:space="preserve">(72000 * 301 / 100) </t>
  </si>
  <si>
    <r>
      <t xml:space="preserve">OTHER SOURCES </t>
    </r>
    <r>
      <rPr>
        <sz val="10"/>
        <color theme="1"/>
        <rFont val="Arial"/>
        <family val="2"/>
      </rPr>
      <t>U/S 56-59</t>
    </r>
  </si>
  <si>
    <t xml:space="preserve">Saving Bank Interest </t>
  </si>
  <si>
    <t>Intt on Deposits to Amar Construction</t>
  </si>
  <si>
    <t>Accrued Interest on NSCs (70000 * 0.079)</t>
  </si>
  <si>
    <t xml:space="preserve">Intt on Deposits to Amar Construction Ltd (No TDS) </t>
  </si>
  <si>
    <t xml:space="preserve">Gift from Colleague in Cash </t>
  </si>
  <si>
    <t xml:space="preserve">Dividend on Pref Shares </t>
  </si>
  <si>
    <t>No TDS</t>
  </si>
  <si>
    <t>Gift from Non-Relative exceeding Rs. 50000</t>
  </si>
  <si>
    <t>Intt on Income Tax Refund 01-12-20</t>
  </si>
  <si>
    <t xml:space="preserve">Gift from Mama ji </t>
  </si>
  <si>
    <t>GROSS TOTAL INCOME</t>
  </si>
  <si>
    <t xml:space="preserve">LESS: DEDUCTIONS UNDER CHAPTER VI-A </t>
  </si>
  <si>
    <t>Recognised Prov Fund</t>
  </si>
  <si>
    <t xml:space="preserve">Sec  80C </t>
  </si>
  <si>
    <t>Public Prov Fund</t>
  </si>
  <si>
    <t xml:space="preserve">NPS </t>
  </si>
  <si>
    <t>NSCs Purchased (17-03-21)</t>
  </si>
  <si>
    <t>Investment in NSCs (08-01-20)</t>
  </si>
  <si>
    <t>Accrued Intt on NSCs (08-01-20)</t>
  </si>
  <si>
    <t>Investment in NSCs (17-03-21)</t>
  </si>
  <si>
    <t xml:space="preserve">(Rs. 70000 * 0.079) First Year </t>
  </si>
  <si>
    <r>
      <t xml:space="preserve">Sec  80CCD(1) </t>
    </r>
    <r>
      <rPr>
        <sz val="9"/>
        <color theme="1"/>
        <rFont val="Arial"/>
        <family val="2"/>
      </rPr>
      <t>NPS</t>
    </r>
  </si>
  <si>
    <r>
      <t xml:space="preserve">Sec  80CCD(1B) </t>
    </r>
    <r>
      <rPr>
        <sz val="9"/>
        <color theme="1"/>
        <rFont val="Arial"/>
        <family val="2"/>
      </rPr>
      <t>New Pension Scheme  Max 50000</t>
    </r>
  </si>
  <si>
    <t>Sec 80TTA</t>
  </si>
  <si>
    <t>SB Interest</t>
  </si>
  <si>
    <t xml:space="preserve">TOTAL  INCOME </t>
  </si>
  <si>
    <t>Rounding Off u/s 288A</t>
  </si>
  <si>
    <t xml:space="preserve">Income tax </t>
  </si>
  <si>
    <t xml:space="preserve">TAX ON TOTAL INCOME </t>
  </si>
  <si>
    <t xml:space="preserve">INCOME  </t>
  </si>
  <si>
    <t>RATE</t>
  </si>
  <si>
    <t>TAX</t>
  </si>
  <si>
    <t>250,000  to  500,000</t>
  </si>
  <si>
    <t>NORMAL INCOME</t>
  </si>
  <si>
    <t>500,000 to 1000,000</t>
  </si>
  <si>
    <t xml:space="preserve">LTCG </t>
  </si>
  <si>
    <t>SPECIAL INCOME</t>
  </si>
  <si>
    <t xml:space="preserve">      Above   1000,000</t>
  </si>
  <si>
    <t>Sec 87A</t>
  </si>
  <si>
    <r>
      <t xml:space="preserve">LESS : REBATE  </t>
    </r>
    <r>
      <rPr>
        <sz val="8"/>
        <color theme="1"/>
        <rFont val="Arial Narrow"/>
        <family val="2"/>
      </rPr>
      <t>(Rs. 12500, if Total Income upto Rs. 5 Lakhs)</t>
    </r>
  </si>
  <si>
    <r>
      <t xml:space="preserve">ADD : SURCHARGE  </t>
    </r>
    <r>
      <rPr>
        <sz val="8"/>
        <color theme="1"/>
        <rFont val="Arial"/>
        <family val="2"/>
      </rPr>
      <t>(10 % / 15% / 25% / 37%)</t>
    </r>
  </si>
  <si>
    <t>Details of Assets &amp; Liabilities</t>
  </si>
  <si>
    <t xml:space="preserve">Acq Cost </t>
  </si>
  <si>
    <t>Resi House Property - Indore</t>
  </si>
  <si>
    <t xml:space="preserve">ADD : HEALTH &amp; EDUCATION CESS (4 % on Income Tax + Surcharge) </t>
  </si>
  <si>
    <t>Resi House Property  - Kolkata</t>
  </si>
  <si>
    <r>
      <t>TOTAL TAX PAYABLE</t>
    </r>
    <r>
      <rPr>
        <sz val="10"/>
        <color theme="1"/>
        <rFont val="Arial"/>
        <family val="2"/>
      </rPr>
      <t xml:space="preserve"> (including Surcharge &amp; Cesses) </t>
    </r>
  </si>
  <si>
    <t xml:space="preserve">Shares (org Cost) </t>
  </si>
  <si>
    <t xml:space="preserve">ADD : INTEREST U/S 234A, 234B &amp; 234C </t>
  </si>
  <si>
    <t>Interest till the date of making Video i.e 11/10/21</t>
  </si>
  <si>
    <t>Cash in Hand</t>
  </si>
  <si>
    <t xml:space="preserve">ADD : Late Fees U/S 234F </t>
  </si>
  <si>
    <t>Rs. 5000 (Jan-Mar 2022)</t>
  </si>
  <si>
    <t xml:space="preserve">NSCs (17-03-21) Purchased </t>
  </si>
  <si>
    <t>TOTAL TAX AND INTEREST PAYABLE</t>
  </si>
  <si>
    <t xml:space="preserve">TAX PAID U/S 199 : </t>
  </si>
  <si>
    <t xml:space="preserve">Advance Tax Paid  U/S 210 </t>
  </si>
  <si>
    <t>TDS to be deducted  by the Employer</t>
  </si>
  <si>
    <t>Self-Assessment Tax Paid  U/S 140A</t>
  </si>
  <si>
    <t xml:space="preserve">Salary after Std Deduction </t>
  </si>
  <si>
    <t xml:space="preserve">T. D. S.  U/S 192 </t>
  </si>
  <si>
    <t>Employer</t>
  </si>
  <si>
    <t>Deds 80C_80CCD(1), 80CCD (1B)</t>
  </si>
  <si>
    <t>T. D. S.  U/S 194-I</t>
  </si>
  <si>
    <t>Tenant</t>
  </si>
  <si>
    <t xml:space="preserve">Income Tax </t>
  </si>
  <si>
    <t xml:space="preserve">Surcharge </t>
  </si>
  <si>
    <t>Rounding Off u/s 288B</t>
  </si>
  <si>
    <t xml:space="preserve">HEC </t>
  </si>
  <si>
    <t xml:space="preserve">Tax Cals by Dr SB Rathore, Former Associate Professor of Commerce;  42 yrs Teaching Experience (Oct-77 to Dec-19) in Shyam Lal College (University of Delhi) </t>
  </si>
  <si>
    <t>Website: www.taxclasses.in</t>
  </si>
  <si>
    <t xml:space="preserve">FaceBook: DrSB Rathore </t>
  </si>
  <si>
    <t xml:space="preserve">YouTube: Dr Rathore's tax Video Lectures (No Advertisements) </t>
  </si>
  <si>
    <t>Transport Allowance</t>
  </si>
  <si>
    <t xml:space="preserve">Resi  to Office </t>
  </si>
  <si>
    <t xml:space="preserve">Sec 10(14) (ii) </t>
  </si>
  <si>
    <t xml:space="preserve">Taxable </t>
  </si>
  <si>
    <t>Conveyance Allowance</t>
  </si>
  <si>
    <t xml:space="preserve">Local </t>
  </si>
  <si>
    <t xml:space="preserve">Sec 10(14) (i) </t>
  </si>
  <si>
    <t>Received</t>
  </si>
  <si>
    <t>Less Spent</t>
  </si>
  <si>
    <t xml:space="preserve">Diff Taxable </t>
  </si>
  <si>
    <t xml:space="preserve">Out of Station </t>
  </si>
  <si>
    <t>https://youtu.be/d3mASlYz6Jw</t>
  </si>
  <si>
    <t>New Tax Rates Regime</t>
  </si>
  <si>
    <t>Salaries</t>
  </si>
  <si>
    <t>House Property</t>
  </si>
  <si>
    <t>Capital Gain</t>
  </si>
  <si>
    <t>Other Sources</t>
  </si>
  <si>
    <t>Total income</t>
  </si>
  <si>
    <t xml:space="preserve">   Upto             2,50,000</t>
  </si>
  <si>
    <t xml:space="preserve">Surcharge 10% </t>
  </si>
  <si>
    <t>2,50,001   to    5,00,000</t>
  </si>
  <si>
    <t>5,00,001   to    7,50,000</t>
  </si>
  <si>
    <t>7,50,001   to  10,00,000</t>
  </si>
  <si>
    <t>Total Liability</t>
  </si>
  <si>
    <t>10,00,001 to  12,50,000</t>
  </si>
  <si>
    <t>12,50,001  to  15,00,000</t>
  </si>
  <si>
    <t xml:space="preserve">   Above         15,00,000</t>
  </si>
  <si>
    <t xml:space="preserve">Calculation  of Interest under Sections 234A, 234B &amp; 234C </t>
  </si>
  <si>
    <t>Total Interest</t>
  </si>
  <si>
    <t xml:space="preserve">No Change </t>
  </si>
  <si>
    <t>Part -B</t>
  </si>
  <si>
    <t>80C - 80GGC</t>
  </si>
  <si>
    <t>Section 234C: In case of Non-Sr Citizen: If  Amount Exceeds Rs. 10000</t>
  </si>
  <si>
    <t>Rebate u/s 87A (if TI upto  5 Lakhs)</t>
  </si>
  <si>
    <t>Part -C</t>
  </si>
  <si>
    <t>80H - 80RRB</t>
  </si>
  <si>
    <t>Total Tax, Surcharge &amp; Cess</t>
  </si>
  <si>
    <t>10%  Surcharge   (TI 50 Lakhs - 100 Lakhs)</t>
  </si>
  <si>
    <t>Part- CA</t>
  </si>
  <si>
    <t>80TTA, 80TTB</t>
  </si>
  <si>
    <t>Less TDS by the Employer, Bank</t>
  </si>
  <si>
    <t>Health &amp; Education Cess @ 4%</t>
  </si>
  <si>
    <t>Part-D</t>
  </si>
  <si>
    <t>80U</t>
  </si>
  <si>
    <t xml:space="preserve">Liability for Advance tax </t>
  </si>
  <si>
    <t>Deposit Date</t>
  </si>
  <si>
    <t xml:space="preserve">Tax Amount </t>
  </si>
  <si>
    <t>Last Date</t>
  </si>
  <si>
    <t xml:space="preserve">Amount </t>
  </si>
  <si>
    <t>Round Down by 100</t>
  </si>
  <si>
    <t xml:space="preserve">Shortfall </t>
  </si>
  <si>
    <t>Interest</t>
  </si>
  <si>
    <t xml:space="preserve">Month </t>
  </si>
  <si>
    <t>Interest u/s 234C</t>
  </si>
  <si>
    <t>Oct</t>
  </si>
  <si>
    <t xml:space="preserve">Nov </t>
  </si>
  <si>
    <t xml:space="preserve">Dec </t>
  </si>
  <si>
    <t>Section 234B:  If  Amount Exceeds Rs. 10000 (Less than 90 %.....)</t>
  </si>
  <si>
    <t xml:space="preserve"> Tax Liability after TDS</t>
  </si>
  <si>
    <t>Advance Tax   till 31-03-2021</t>
  </si>
  <si>
    <t>Interest u/s 234B</t>
  </si>
  <si>
    <t xml:space="preserve">Tax Liability after Advance Tax </t>
  </si>
  <si>
    <t xml:space="preserve">Self-Assessment Tax Paid </t>
  </si>
  <si>
    <t xml:space="preserve">Adjusted for  Intt u/s 234B &amp; 234C  </t>
  </si>
  <si>
    <t xml:space="preserve">Net Amt Paid </t>
  </si>
  <si>
    <t>Tax Liability after Self-Assessment Tax</t>
  </si>
  <si>
    <t>Section 234A:  If Amount Exceeds Rs. 100000</t>
  </si>
  <si>
    <t>Less Advance tax paid by 31-03-2021</t>
  </si>
  <si>
    <t>Interest u/s 234A</t>
  </si>
  <si>
    <t>Add Interest u/s 234C till 31-03-2021</t>
  </si>
  <si>
    <t>Add Interest u/s 234B till 31-07-2021</t>
  </si>
  <si>
    <t>Less Self-Assessment Tax on 04-07-21</t>
  </si>
  <si>
    <t xml:space="preserve">Sec 10(14) : Special Allowances prescribed as exempt </t>
  </si>
  <si>
    <t>Granted &amp; Incurred</t>
  </si>
  <si>
    <t>Sec 10(14)(i) : Exemption depend upon Actual Expenditure by the Employee</t>
  </si>
  <si>
    <t xml:space="preserve">Lower of (a) Allowance Amount or (b) Amount spent for specific purose </t>
  </si>
  <si>
    <r>
      <t>(</t>
    </r>
    <r>
      <rPr>
        <i/>
        <sz val="9"/>
        <color rgb="FF3E3E3E"/>
        <rFont val="Arial"/>
        <family val="2"/>
      </rPr>
      <t>a</t>
    </r>
    <r>
      <rPr>
        <sz val="9"/>
        <color rgb="FF3E3E3E"/>
        <rFont val="Arial"/>
        <family val="2"/>
      </rPr>
      <t>)</t>
    </r>
  </si>
  <si>
    <t>any allowance granted to meet the cost of travel on tour or on transfer;</t>
  </si>
  <si>
    <t>Travelling / Tour</t>
  </si>
  <si>
    <r>
      <t>(</t>
    </r>
    <r>
      <rPr>
        <i/>
        <sz val="9"/>
        <color rgb="FF3E3E3E"/>
        <rFont val="Arial"/>
        <family val="2"/>
      </rPr>
      <t>b</t>
    </r>
    <r>
      <rPr>
        <sz val="9"/>
        <color rgb="FF3E3E3E"/>
        <rFont val="Arial"/>
        <family val="2"/>
      </rPr>
      <t>)</t>
    </r>
  </si>
  <si>
    <t>any allowance, whether, granted on tour or for the period of journey in connection with transfer, to meet the ordinary daily charges incurred by an employee on account of absence from his normal place of duty;</t>
  </si>
  <si>
    <t>Conveyance</t>
  </si>
  <si>
    <r>
      <t>(</t>
    </r>
    <r>
      <rPr>
        <i/>
        <sz val="9"/>
        <color rgb="FF3E3E3E"/>
        <rFont val="Arial"/>
        <family val="2"/>
      </rPr>
      <t>c</t>
    </r>
    <r>
      <rPr>
        <sz val="9"/>
        <color rgb="FF3E3E3E"/>
        <rFont val="Arial"/>
        <family val="2"/>
      </rPr>
      <t>)</t>
    </r>
  </si>
  <si>
    <t>any allowance granted to meet the expenditure incurred on con-veyance in performance of duties of an office or employment of profit :</t>
  </si>
  <si>
    <t xml:space="preserve">Daily </t>
  </si>
  <si>
    <r>
      <t>(</t>
    </r>
    <r>
      <rPr>
        <i/>
        <sz val="9"/>
        <color rgb="FF3E3E3E"/>
        <rFont val="Arial"/>
        <family val="2"/>
      </rPr>
      <t>d</t>
    </r>
    <r>
      <rPr>
        <sz val="9"/>
        <color rgb="FF3E3E3E"/>
        <rFont val="Arial"/>
        <family val="2"/>
      </rPr>
      <t>)</t>
    </r>
  </si>
  <si>
    <t>any allowance granted to meet the expenditure incurred on a helper where such helper is engaged for the performance of the duties of an office or employment of profit;</t>
  </si>
  <si>
    <t>Helper</t>
  </si>
  <si>
    <r>
      <t>(</t>
    </r>
    <r>
      <rPr>
        <i/>
        <sz val="9"/>
        <color rgb="FF3E3E3E"/>
        <rFont val="Arial"/>
        <family val="2"/>
      </rPr>
      <t>e</t>
    </r>
    <r>
      <rPr>
        <sz val="9"/>
        <color rgb="FF3E3E3E"/>
        <rFont val="Arial"/>
        <family val="2"/>
      </rPr>
      <t>)</t>
    </r>
  </si>
  <si>
    <t>any allowance granted for encouraging the academic, research and training pursuits in educational and research institutions;</t>
  </si>
  <si>
    <t>Research</t>
  </si>
  <si>
    <r>
      <t>(</t>
    </r>
    <r>
      <rPr>
        <i/>
        <sz val="9"/>
        <color rgb="FF3E3E3E"/>
        <rFont val="Arial"/>
        <family val="2"/>
      </rPr>
      <t>f</t>
    </r>
    <r>
      <rPr>
        <sz val="9"/>
        <color rgb="FF3E3E3E"/>
        <rFont val="Arial"/>
        <family val="2"/>
      </rPr>
      <t>)</t>
    </r>
  </si>
  <si>
    <t>any allowance granted to meet the expenditure incurred on the purchase or maintenance of uniform for wear during the performance of the duties of an office or employment of profit.</t>
  </si>
  <si>
    <t>Uniform</t>
  </si>
  <si>
    <r>
      <t>Explanation</t>
    </r>
    <r>
      <rPr>
        <sz val="8"/>
        <color rgb="FF3E3E3E"/>
        <rFont val="Times New Roman"/>
        <family val="1"/>
      </rPr>
      <t> : For the purpose of clause (</t>
    </r>
    <r>
      <rPr>
        <i/>
        <sz val="8"/>
        <color rgb="FF3E3E3E"/>
        <rFont val="Times New Roman"/>
        <family val="1"/>
      </rPr>
      <t>a</t>
    </r>
    <r>
      <rPr>
        <sz val="8"/>
        <color rgb="FF3E3E3E"/>
        <rFont val="Times New Roman"/>
        <family val="1"/>
      </rPr>
      <t>), “allowance granted to meet the cost of travel on transfer” includes any sum paid in connection with transfer, packing and transportation of personal effects on such transfer.</t>
    </r>
  </si>
  <si>
    <t>for Clause © Provided that free conveyance is not provided by the employer;</t>
  </si>
  <si>
    <t xml:space="preserve">Granted </t>
  </si>
  <si>
    <t>Sec 10(14)(ii) : Exemption not dependent upon Actual Expenditure</t>
  </si>
  <si>
    <t>Lower of (a) Allowance Amount or (b) Amount specified in Rule 2BB</t>
  </si>
  <si>
    <t>Children Education  Allow</t>
  </si>
  <si>
    <t>Rs. 100 per month per child subject to max of  2 Children</t>
  </si>
  <si>
    <t>Hostel Expenditure Allow</t>
  </si>
  <si>
    <t>Rs. 300 per month per child subject to max of  2 Children</t>
  </si>
  <si>
    <t>Border Area Allowance</t>
  </si>
  <si>
    <t>Range Rs. 200 per month to Rs. 1300 per month</t>
  </si>
  <si>
    <t>Tribal Area/Scheduled Area</t>
  </si>
  <si>
    <t>Rs. 200 per month</t>
  </si>
  <si>
    <t xml:space="preserve">High Altitude Allowance </t>
  </si>
  <si>
    <t xml:space="preserve">Rs. 1060 per month (Altitude 9000 to 15000 feet); 1600 pm (Above 15000 Feet) </t>
  </si>
  <si>
    <t xml:space="preserve">Island Duty Allowance </t>
  </si>
  <si>
    <t xml:space="preserve">Rs. 3250 per month  (Andaman &amp; Nocobar;  Lakshadweep) </t>
  </si>
  <si>
    <t xml:space="preserve">Highly Active Field </t>
  </si>
  <si>
    <t xml:space="preserve">Rs. 4200 per month </t>
  </si>
  <si>
    <t>Transport Allow (Sec 80U)</t>
  </si>
  <si>
    <t xml:space="preserve">Rs. 3200 per month </t>
  </si>
  <si>
    <t xml:space="preserve">Sec 17 (1) </t>
  </si>
  <si>
    <t>Less Allowances u/s 10</t>
  </si>
  <si>
    <t xml:space="preserve">Less Deds u/s 16 </t>
  </si>
  <si>
    <t xml:space="preserve">Sec 10(5) Leave Travel </t>
  </si>
  <si>
    <t xml:space="preserve">Std Ded  u/s 16 (ia) </t>
  </si>
  <si>
    <t>Dearness Allowance</t>
  </si>
  <si>
    <t>Sec 10(13A) HRA</t>
  </si>
  <si>
    <t>Employment Tax</t>
  </si>
  <si>
    <t xml:space="preserve">Sec 10(14)(i) Conveyance </t>
  </si>
  <si>
    <t>House Rent Allowance</t>
  </si>
  <si>
    <t>Sec 10(14)(iI) CEA</t>
  </si>
  <si>
    <t>Leave Travel Allowance</t>
  </si>
  <si>
    <t>Children Edu Allowance</t>
  </si>
  <si>
    <t>Other Allowances</t>
  </si>
  <si>
    <t xml:space="preserve">Sec 17 (2) Perks </t>
  </si>
  <si>
    <t xml:space="preserve">Accommodation </t>
  </si>
  <si>
    <t xml:space="preserve">Car </t>
  </si>
  <si>
    <t>Others</t>
  </si>
  <si>
    <t xml:space="preserve">Sec 17 (3) Profit In lieu of Salary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</si>
</sst>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d\-mmm\-yy;@"/>
    <numFmt numFmtId="165" formatCode="[$-409]d\-mmm\-yy;@"/>
  </numFmts>
  <fonts count="75" x14ac:knownFonts="1">
    <font>
      <sz val="10"/>
      <name val="Arial"/>
    </font>
    <font>
      <sz val="10"/>
      <name val="Arial"/>
      <family val="2"/>
    </font>
    <font>
      <b/>
      <sz val="8"/>
      <color rgb="FF2B0CE4"/>
      <name val="Arial"/>
      <family val="2"/>
    </font>
    <font>
      <sz val="11"/>
      <color theme="1"/>
      <name val="Arial"/>
      <family val="2"/>
    </font>
    <font>
      <sz val="10"/>
      <color rgb="FFC00000"/>
      <name val="Arial Narrow"/>
      <family val="2"/>
    </font>
    <font>
      <sz val="9"/>
      <color rgb="FF0000FF"/>
      <name val="Arial"/>
      <family val="2"/>
    </font>
    <font>
      <b/>
      <sz val="8"/>
      <color rgb="FFC00000"/>
      <name val="Arial"/>
      <family val="2"/>
    </font>
    <font>
      <b/>
      <sz val="9"/>
      <color theme="1"/>
      <name val="Arial"/>
      <family val="2"/>
    </font>
    <font>
      <sz val="8"/>
      <color theme="1"/>
      <name val="Arial"/>
      <family val="2"/>
    </font>
    <font>
      <sz val="10"/>
      <color rgb="FF0000FF"/>
      <name val="Arial"/>
      <family val="2"/>
    </font>
    <font>
      <sz val="9"/>
      <color rgb="FFC00000"/>
      <name val="Arial"/>
      <family val="2"/>
    </font>
    <font>
      <b/>
      <sz val="8"/>
      <color rgb="FF0000FF"/>
      <name val="Arial"/>
      <family val="2"/>
    </font>
    <font>
      <sz val="10"/>
      <color theme="1"/>
      <name val="Arial"/>
      <family val="2"/>
    </font>
    <font>
      <b/>
      <u/>
      <sz val="10"/>
      <color theme="1"/>
      <name val="Arial"/>
      <family val="2"/>
    </font>
    <font>
      <b/>
      <sz val="8"/>
      <color theme="1"/>
      <name val="Arial"/>
      <family val="2"/>
    </font>
    <font>
      <sz val="9"/>
      <color theme="1"/>
      <name val="Arial"/>
      <family val="2"/>
    </font>
    <font>
      <b/>
      <sz val="10"/>
      <color theme="1"/>
      <name val="Arial"/>
      <family val="2"/>
    </font>
    <font>
      <i/>
      <sz val="10"/>
      <color theme="1"/>
      <name val="Arial"/>
      <family val="2"/>
    </font>
    <font>
      <b/>
      <sz val="8"/>
      <name val="Arial"/>
      <family val="2"/>
    </font>
    <font>
      <i/>
      <sz val="9"/>
      <color theme="1"/>
      <name val="Arial"/>
      <family val="2"/>
    </font>
    <font>
      <b/>
      <sz val="10"/>
      <color rgb="FF0000FF"/>
      <name val="Arial"/>
      <family val="2"/>
    </font>
    <font>
      <sz val="9"/>
      <color rgb="FF7030A0"/>
      <name val="Arial"/>
      <family val="2"/>
    </font>
    <font>
      <sz val="10"/>
      <color theme="9" tint="-0.499984740745262"/>
      <name val="Arial"/>
      <family val="2"/>
    </font>
    <font>
      <b/>
      <sz val="9"/>
      <color rgb="FFC00000"/>
      <name val="Arial"/>
      <family val="2"/>
    </font>
    <font>
      <sz val="9"/>
      <name val="Arial"/>
      <family val="2"/>
    </font>
    <font>
      <sz val="10"/>
      <color rgb="FF7030A0"/>
      <name val="Arial"/>
      <family val="2"/>
    </font>
    <font>
      <i/>
      <sz val="10"/>
      <color theme="7" tint="-0.249977111117893"/>
      <name val="Arial"/>
      <family val="2"/>
    </font>
    <font>
      <sz val="10"/>
      <color theme="7" tint="-0.249977111117893"/>
      <name val="Arial"/>
      <family val="2"/>
    </font>
    <font>
      <i/>
      <sz val="8"/>
      <color rgb="FFC00000"/>
      <name val="Arial"/>
      <family val="2"/>
    </font>
    <font>
      <sz val="8"/>
      <color theme="1"/>
      <name val="Arial Narrow"/>
      <family val="2"/>
    </font>
    <font>
      <sz val="10"/>
      <color theme="3" tint="-0.249977111117893"/>
      <name val="Arial"/>
      <family val="2"/>
    </font>
    <font>
      <u/>
      <sz val="10"/>
      <color theme="1"/>
      <name val="Arial"/>
      <family val="2"/>
    </font>
    <font>
      <i/>
      <u/>
      <sz val="10"/>
      <color theme="1"/>
      <name val="Arial"/>
      <family val="2"/>
    </font>
    <font>
      <sz val="8"/>
      <color rgb="FF0000FF"/>
      <name val="Arial"/>
      <family val="2"/>
    </font>
    <font>
      <sz val="9"/>
      <color rgb="FFFF0000"/>
      <name val="Arial"/>
      <family val="2"/>
    </font>
    <font>
      <b/>
      <sz val="9"/>
      <color rgb="FF0000FF"/>
      <name val="Arial"/>
      <family val="2"/>
    </font>
    <font>
      <sz val="11"/>
      <color rgb="FF515656"/>
      <name val="Arial"/>
      <family val="2"/>
    </font>
    <font>
      <i/>
      <sz val="8"/>
      <color theme="1"/>
      <name val="Arial"/>
      <family val="2"/>
    </font>
    <font>
      <b/>
      <sz val="10"/>
      <color rgb="FFC00000"/>
      <name val="Arial Narrow"/>
      <family val="2"/>
    </font>
    <font>
      <b/>
      <sz val="10"/>
      <color rgb="FFC00000"/>
      <name val="Arial"/>
      <family val="2"/>
    </font>
    <font>
      <sz val="10"/>
      <color rgb="FFC00000"/>
      <name val="Arial"/>
      <family val="2"/>
    </font>
    <font>
      <sz val="10"/>
      <color theme="1"/>
      <name val="Arial Narrow"/>
      <family val="2"/>
    </font>
    <font>
      <sz val="9"/>
      <color rgb="FF00B0F0"/>
      <name val="Arial"/>
      <family val="2"/>
    </font>
    <font>
      <sz val="9"/>
      <color theme="1"/>
      <name val="Arial Narrow"/>
      <family val="2"/>
    </font>
    <font>
      <b/>
      <sz val="9"/>
      <color theme="7" tint="-0.249977111117893"/>
      <name val="Arial"/>
      <family val="2"/>
    </font>
    <font>
      <sz val="8"/>
      <color rgb="FF2B0CE4"/>
      <name val="Arial Narrow"/>
      <family val="2"/>
    </font>
    <font>
      <sz val="8"/>
      <name val="Arial"/>
      <family val="2"/>
    </font>
    <font>
      <sz val="9"/>
      <color theme="9" tint="-0.249977111117893"/>
      <name val="Arial"/>
      <family val="2"/>
    </font>
    <font>
      <sz val="8"/>
      <name val="Arial Narrow"/>
      <family val="2"/>
    </font>
    <font>
      <sz val="8"/>
      <color theme="5" tint="-0.249977111117893"/>
      <name val="Arial Narrow"/>
      <family val="2"/>
    </font>
    <font>
      <sz val="8"/>
      <color rgb="FF7030A0"/>
      <name val="Arial Narrow"/>
      <family val="2"/>
    </font>
    <font>
      <sz val="9"/>
      <color theme="8" tint="-0.249977111117893"/>
      <name val="Arial"/>
      <family val="2"/>
    </font>
    <font>
      <sz val="8"/>
      <color rgb="FFC00000"/>
      <name val="Arial"/>
      <family val="2"/>
    </font>
    <font>
      <b/>
      <sz val="10"/>
      <color theme="4" tint="-0.249977111117893"/>
      <name val="Arial"/>
      <family val="2"/>
    </font>
    <font>
      <b/>
      <sz val="10"/>
      <color indexed="12"/>
      <name val="Arial"/>
      <family val="2"/>
    </font>
    <font>
      <b/>
      <sz val="10"/>
      <name val="Arial"/>
      <family val="2"/>
    </font>
    <font>
      <b/>
      <sz val="10"/>
      <color rgb="FF00B050"/>
      <name val="Arial"/>
      <family val="2"/>
    </font>
    <font>
      <b/>
      <sz val="9"/>
      <color theme="9" tint="-0.249977111117893"/>
      <name val="Arial"/>
      <family val="2"/>
    </font>
    <font>
      <sz val="10"/>
      <color indexed="12"/>
      <name val="Arial"/>
      <family val="2"/>
    </font>
    <font>
      <sz val="10"/>
      <color rgb="FFFF0000"/>
      <name val="Arial"/>
      <family val="2"/>
    </font>
    <font>
      <i/>
      <sz val="10"/>
      <name val="Arial"/>
      <family val="2"/>
    </font>
    <font>
      <sz val="10"/>
      <color rgb="FF00B050"/>
      <name val="Arial"/>
      <family val="2"/>
    </font>
    <font>
      <b/>
      <sz val="10"/>
      <color rgb="FFAA1695"/>
      <name val="Arial"/>
      <family val="2"/>
    </font>
    <font>
      <b/>
      <sz val="9"/>
      <color theme="5" tint="-0.249977111117893"/>
      <name val="Arial"/>
      <family val="2"/>
    </font>
    <font>
      <b/>
      <sz val="9"/>
      <color rgb="FFAA1695"/>
      <name val="Arial"/>
      <family val="2"/>
    </font>
    <font>
      <sz val="9"/>
      <color rgb="FF3E3E3E"/>
      <name val="Arial"/>
      <family val="2"/>
    </font>
    <font>
      <i/>
      <sz val="9"/>
      <color rgb="FF3E3E3E"/>
      <name val="Arial"/>
      <family val="2"/>
    </font>
    <font>
      <sz val="9"/>
      <color rgb="FF3E3E3E"/>
      <name val="Times New Roman"/>
      <family val="1"/>
    </font>
    <font>
      <i/>
      <sz val="8"/>
      <color rgb="FF3E3E3E"/>
      <name val="Times New Roman"/>
      <family val="1"/>
    </font>
    <font>
      <sz val="8"/>
      <color rgb="FF3E3E3E"/>
      <name val="Times New Roman"/>
      <family val="1"/>
    </font>
    <font>
      <b/>
      <sz val="10"/>
      <color theme="5" tint="-0.249977111117893"/>
      <name val="Arial"/>
      <family val="2"/>
    </font>
    <font>
      <sz val="12"/>
      <color theme="1"/>
      <name val="Arial"/>
      <family val="2"/>
    </font>
    <font>
      <sz val="11"/>
      <name val="Arial"/>
      <family val="2"/>
    </font>
    <font>
      <b/>
      <sz val="8"/>
      <color indexed="81"/>
      <name val="Tahoma"/>
      <family val="2"/>
    </font>
    <font>
      <sz val="8"/>
      <color indexed="81"/>
      <name val="Tahoma"/>
      <family val="2"/>
    </font>
  </fonts>
  <fills count="12">
    <fill>
      <patternFill patternType="none"/>
    </fill>
    <fill>
      <patternFill patternType="gray125"/>
    </fill>
    <fill>
      <patternFill patternType="solid">
        <fgColor theme="0" tint="-4.9989318521683403E-2"/>
        <bgColor indexed="64"/>
      </patternFill>
    </fill>
    <fill>
      <patternFill patternType="solid">
        <fgColor indexed="42"/>
        <bgColor indexed="64"/>
      </patternFill>
    </fill>
    <fill>
      <patternFill patternType="solid">
        <fgColor rgb="FFFFFF00"/>
        <bgColor indexed="64"/>
      </patternFill>
    </fill>
    <fill>
      <patternFill patternType="solid">
        <fgColor indexed="41"/>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style="double">
        <color indexed="64"/>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314">
    <xf numFmtId="0" fontId="0" fillId="0" borderId="0" xfId="0"/>
    <xf numFmtId="0" fontId="2" fillId="0" borderId="1" xfId="2" applyFont="1" applyBorder="1" applyAlignment="1">
      <alignment horizontal="center" shrinkToFit="1"/>
    </xf>
    <xf numFmtId="0" fontId="2" fillId="0" borderId="2" xfId="2" applyFont="1" applyBorder="1" applyAlignment="1">
      <alignment horizontal="center" shrinkToFit="1"/>
    </xf>
    <xf numFmtId="0" fontId="3" fillId="0" borderId="2" xfId="2" applyFont="1" applyBorder="1" applyAlignment="1">
      <alignment horizontal="center"/>
    </xf>
    <xf numFmtId="0" fontId="3" fillId="0" borderId="3" xfId="2" applyFont="1" applyBorder="1" applyAlignment="1">
      <alignment horizontal="center"/>
    </xf>
    <xf numFmtId="0" fontId="4" fillId="0" borderId="4" xfId="0" applyFont="1" applyBorder="1" applyAlignment="1">
      <alignment horizontal="center"/>
    </xf>
    <xf numFmtId="0" fontId="4" fillId="0" borderId="0" xfId="0" applyFont="1" applyAlignment="1">
      <alignment horizontal="center"/>
    </xf>
    <xf numFmtId="0" fontId="4" fillId="0" borderId="5" xfId="0" applyFont="1" applyBorder="1" applyAlignment="1">
      <alignment horizontal="center"/>
    </xf>
    <xf numFmtId="0" fontId="5" fillId="0" borderId="6" xfId="0" applyFont="1" applyBorder="1" applyAlignment="1">
      <alignment horizontal="center"/>
    </xf>
    <xf numFmtId="0" fontId="3" fillId="0" borderId="0" xfId="0" applyFont="1"/>
    <xf numFmtId="0" fontId="6" fillId="0" borderId="7" xfId="2" applyFont="1" applyBorder="1" applyAlignment="1">
      <alignment horizontal="center" shrinkToFit="1"/>
    </xf>
    <xf numFmtId="0" fontId="6" fillId="0" borderId="8" xfId="2" applyFont="1" applyBorder="1" applyAlignment="1">
      <alignment horizontal="center" shrinkToFit="1"/>
    </xf>
    <xf numFmtId="0" fontId="7" fillId="0" borderId="8" xfId="2" applyFont="1" applyBorder="1" applyAlignment="1">
      <alignment horizontal="center"/>
    </xf>
    <xf numFmtId="0" fontId="8" fillId="0" borderId="8" xfId="2" applyFont="1" applyBorder="1" applyAlignment="1">
      <alignment horizontal="center"/>
    </xf>
    <xf numFmtId="0" fontId="9" fillId="0" borderId="8" xfId="0" applyFont="1" applyBorder="1" applyAlignment="1">
      <alignment horizontal="center"/>
    </xf>
    <xf numFmtId="15" fontId="10" fillId="0" borderId="8" xfId="2" applyNumberFormat="1" applyFont="1" applyBorder="1" applyAlignment="1">
      <alignment horizontal="center"/>
    </xf>
    <xf numFmtId="1" fontId="11" fillId="2" borderId="9" xfId="0" applyNumberFormat="1" applyFont="1" applyFill="1" applyBorder="1" applyAlignment="1">
      <alignment horizontal="center" shrinkToFit="1"/>
    </xf>
    <xf numFmtId="0" fontId="12" fillId="0" borderId="0" xfId="0" applyFont="1" applyAlignment="1">
      <alignment horizontal="center"/>
    </xf>
    <xf numFmtId="0" fontId="12" fillId="0" borderId="0" xfId="0" applyFont="1"/>
    <xf numFmtId="15" fontId="5" fillId="0" borderId="10" xfId="0" applyNumberFormat="1" applyFont="1" applyBorder="1" applyAlignment="1">
      <alignment horizontal="center"/>
    </xf>
    <xf numFmtId="1" fontId="8" fillId="0" borderId="4" xfId="0" applyNumberFormat="1" applyFont="1" applyBorder="1" applyAlignment="1">
      <alignment shrinkToFit="1"/>
    </xf>
    <xf numFmtId="0" fontId="13" fillId="0" borderId="0" xfId="0" applyFont="1"/>
    <xf numFmtId="0" fontId="12" fillId="0" borderId="11" xfId="0" applyFont="1" applyBorder="1"/>
    <xf numFmtId="0" fontId="14" fillId="0" borderId="0" xfId="0" applyFont="1" applyAlignment="1">
      <alignment horizontal="center"/>
    </xf>
    <xf numFmtId="0" fontId="14" fillId="0" borderId="5" xfId="0" applyFont="1" applyBorder="1" applyAlignment="1">
      <alignment horizontal="center"/>
    </xf>
    <xf numFmtId="1" fontId="12" fillId="0" borderId="0" xfId="0" applyNumberFormat="1" applyFont="1"/>
    <xf numFmtId="0" fontId="10" fillId="0" borderId="10" xfId="0" applyFont="1" applyBorder="1" applyAlignment="1">
      <alignment horizontal="center"/>
    </xf>
    <xf numFmtId="0" fontId="8" fillId="0" borderId="4" xfId="0" applyFont="1" applyBorder="1" applyAlignment="1">
      <alignment shrinkToFit="1"/>
    </xf>
    <xf numFmtId="0" fontId="8" fillId="0" borderId="0" xfId="0" applyFont="1"/>
    <xf numFmtId="0" fontId="15" fillId="0" borderId="0" xfId="0" applyFont="1" applyAlignment="1">
      <alignment horizontal="left"/>
    </xf>
    <xf numFmtId="1" fontId="12" fillId="3" borderId="11" xfId="0" applyNumberFormat="1" applyFont="1" applyFill="1" applyBorder="1"/>
    <xf numFmtId="1" fontId="16" fillId="0" borderId="0" xfId="0" applyNumberFormat="1" applyFont="1"/>
    <xf numFmtId="1" fontId="16" fillId="0" borderId="5" xfId="0" applyNumberFormat="1" applyFont="1" applyBorder="1"/>
    <xf numFmtId="15" fontId="10" fillId="0" borderId="10" xfId="0" applyNumberFormat="1" applyFont="1" applyBorder="1" applyAlignment="1">
      <alignment horizontal="center"/>
    </xf>
    <xf numFmtId="0" fontId="8" fillId="0" borderId="10" xfId="0" applyFont="1" applyBorder="1"/>
    <xf numFmtId="1" fontId="12" fillId="3" borderId="12" xfId="0" applyNumberFormat="1" applyFont="1" applyFill="1" applyBorder="1"/>
    <xf numFmtId="0" fontId="12" fillId="0" borderId="0" xfId="0" applyFont="1" applyAlignment="1">
      <alignment horizontal="right"/>
    </xf>
    <xf numFmtId="15" fontId="15" fillId="0" borderId="13" xfId="0" applyNumberFormat="1" applyFont="1" applyBorder="1" applyAlignment="1">
      <alignment horizontal="center"/>
    </xf>
    <xf numFmtId="0" fontId="17" fillId="0" borderId="0" xfId="0" applyFont="1" applyAlignment="1">
      <alignment horizontal="right"/>
    </xf>
    <xf numFmtId="1" fontId="12" fillId="0" borderId="14" xfId="0" applyNumberFormat="1" applyFont="1" applyBorder="1"/>
    <xf numFmtId="0" fontId="18" fillId="4" borderId="6" xfId="0" applyFont="1" applyFill="1" applyBorder="1" applyAlignment="1">
      <alignment horizontal="center"/>
    </xf>
    <xf numFmtId="0" fontId="19" fillId="0" borderId="0" xfId="0" applyFont="1"/>
    <xf numFmtId="0" fontId="20" fillId="0" borderId="15" xfId="0" applyFont="1" applyBorder="1" applyAlignment="1">
      <alignment horizontal="right" vertical="center"/>
    </xf>
    <xf numFmtId="17" fontId="21" fillId="0" borderId="10" xfId="0" applyNumberFormat="1" applyFont="1" applyBorder="1" applyAlignment="1">
      <alignment horizontal="center"/>
    </xf>
    <xf numFmtId="1" fontId="12" fillId="0" borderId="11" xfId="0" applyNumberFormat="1" applyFont="1" applyBorder="1"/>
    <xf numFmtId="0" fontId="21" fillId="0" borderId="13" xfId="0" applyFont="1" applyBorder="1" applyAlignment="1">
      <alignment horizontal="center"/>
    </xf>
    <xf numFmtId="0" fontId="15" fillId="0" borderId="0" xfId="0" applyFont="1"/>
    <xf numFmtId="0" fontId="7" fillId="0" borderId="0" xfId="0" applyFont="1"/>
    <xf numFmtId="0" fontId="5" fillId="0" borderId="0" xfId="0" applyFont="1"/>
    <xf numFmtId="0" fontId="22" fillId="0" borderId="0" xfId="0" applyFont="1"/>
    <xf numFmtId="0" fontId="23" fillId="0" borderId="0" xfId="0" applyFont="1" applyAlignment="1">
      <alignment horizontal="center"/>
    </xf>
    <xf numFmtId="0" fontId="24" fillId="0" borderId="0" xfId="0" applyFont="1" applyAlignment="1">
      <alignment horizontal="left"/>
    </xf>
    <xf numFmtId="0" fontId="21" fillId="0" borderId="0" xfId="0" applyFont="1" applyAlignment="1">
      <alignment horizontal="center"/>
    </xf>
    <xf numFmtId="0" fontId="12" fillId="5" borderId="0" xfId="0" applyFont="1" applyFill="1" applyAlignment="1">
      <alignment horizontal="right"/>
    </xf>
    <xf numFmtId="1" fontId="16" fillId="0" borderId="16" xfId="0" applyNumberFormat="1" applyFont="1" applyBorder="1"/>
    <xf numFmtId="0" fontId="24" fillId="0" borderId="0" xfId="0" applyFont="1"/>
    <xf numFmtId="0" fontId="12" fillId="5" borderId="12" xfId="0" applyFont="1" applyFill="1" applyBorder="1"/>
    <xf numFmtId="1" fontId="12" fillId="0" borderId="0" xfId="0" applyNumberFormat="1" applyFont="1" applyAlignment="1">
      <alignment horizontal="right"/>
    </xf>
    <xf numFmtId="0" fontId="22" fillId="0" borderId="0" xfId="0" applyFont="1" applyAlignment="1">
      <alignment horizontal="left" indent="1"/>
    </xf>
    <xf numFmtId="0" fontId="8" fillId="0" borderId="0" xfId="0" applyFont="1" applyAlignment="1">
      <alignment horizontal="center"/>
    </xf>
    <xf numFmtId="0" fontId="12" fillId="5" borderId="17" xfId="0" applyFont="1" applyFill="1" applyBorder="1"/>
    <xf numFmtId="0" fontId="12" fillId="0" borderId="12" xfId="0" applyFont="1" applyBorder="1"/>
    <xf numFmtId="0" fontId="25" fillId="0" borderId="0" xfId="0" applyFont="1" applyAlignment="1">
      <alignment horizontal="left"/>
    </xf>
    <xf numFmtId="0" fontId="12" fillId="0" borderId="0" xfId="0" applyFont="1" applyAlignment="1">
      <alignment horizontal="left"/>
    </xf>
    <xf numFmtId="0" fontId="12" fillId="5" borderId="12" xfId="0" applyFont="1" applyFill="1" applyBorder="1" applyAlignment="1">
      <alignment horizontal="right"/>
    </xf>
    <xf numFmtId="0" fontId="26" fillId="0" borderId="0" xfId="0" applyFont="1"/>
    <xf numFmtId="0" fontId="27" fillId="0" borderId="0" xfId="0" applyFont="1" applyAlignment="1">
      <alignment horizontal="right"/>
    </xf>
    <xf numFmtId="0" fontId="27" fillId="0" borderId="0" xfId="0" applyFont="1"/>
    <xf numFmtId="0" fontId="28" fillId="0" borderId="0" xfId="0" applyFont="1"/>
    <xf numFmtId="0" fontId="12" fillId="6" borderId="0" xfId="0" applyFont="1" applyFill="1"/>
    <xf numFmtId="15" fontId="5" fillId="0" borderId="0" xfId="2" applyNumberFormat="1" applyFont="1" applyAlignment="1">
      <alignment horizontal="center"/>
    </xf>
    <xf numFmtId="0" fontId="15" fillId="0" borderId="0" xfId="0" applyFont="1" applyAlignment="1">
      <alignment horizontal="left" indent="1"/>
    </xf>
    <xf numFmtId="0" fontId="5" fillId="0" borderId="0" xfId="0" applyFont="1" applyAlignment="1">
      <alignment horizontal="center"/>
    </xf>
    <xf numFmtId="0" fontId="19" fillId="0" borderId="0" xfId="0" applyFont="1" applyAlignment="1">
      <alignment horizontal="left" indent="1"/>
    </xf>
    <xf numFmtId="0" fontId="15" fillId="0" borderId="17" xfId="0" applyFont="1" applyBorder="1"/>
    <xf numFmtId="0" fontId="29" fillId="0" borderId="0" xfId="0" applyFont="1" applyAlignment="1">
      <alignment horizontal="center"/>
    </xf>
    <xf numFmtId="0" fontId="12" fillId="5" borderId="0" xfId="0" applyFont="1" applyFill="1"/>
    <xf numFmtId="1" fontId="12" fillId="5" borderId="0" xfId="0" applyNumberFormat="1" applyFont="1" applyFill="1"/>
    <xf numFmtId="0" fontId="9" fillId="0" borderId="0" xfId="0" applyFont="1" applyAlignment="1">
      <alignment horizontal="center"/>
    </xf>
    <xf numFmtId="1" fontId="17" fillId="5" borderId="0" xfId="0" applyNumberFormat="1" applyFont="1" applyFill="1"/>
    <xf numFmtId="0" fontId="30" fillId="0" borderId="0" xfId="0" applyFont="1"/>
    <xf numFmtId="10" fontId="10" fillId="0" borderId="0" xfId="0" applyNumberFormat="1" applyFont="1" applyAlignment="1">
      <alignment horizontal="center"/>
    </xf>
    <xf numFmtId="1" fontId="17" fillId="5" borderId="17" xfId="0" applyNumberFormat="1" applyFont="1" applyFill="1" applyBorder="1"/>
    <xf numFmtId="15" fontId="10" fillId="0" borderId="0" xfId="2" applyNumberFormat="1" applyFont="1" applyAlignment="1">
      <alignment horizontal="center"/>
    </xf>
    <xf numFmtId="164" fontId="10" fillId="0" borderId="0" xfId="0" applyNumberFormat="1" applyFont="1" applyAlignment="1">
      <alignment horizontal="center"/>
    </xf>
    <xf numFmtId="1" fontId="12" fillId="5" borderId="12" xfId="0" applyNumberFormat="1" applyFont="1" applyFill="1" applyBorder="1"/>
    <xf numFmtId="0" fontId="9" fillId="0" borderId="0" xfId="0" applyFont="1"/>
    <xf numFmtId="1" fontId="16" fillId="0" borderId="18" xfId="0" applyNumberFormat="1" applyFont="1" applyBorder="1"/>
    <xf numFmtId="1" fontId="20" fillId="0" borderId="19" xfId="0" applyNumberFormat="1" applyFont="1" applyBorder="1"/>
    <xf numFmtId="1" fontId="20" fillId="0" borderId="5" xfId="0" applyNumberFormat="1" applyFont="1" applyBorder="1"/>
    <xf numFmtId="0" fontId="31" fillId="0" borderId="0" xfId="0" applyFont="1"/>
    <xf numFmtId="0" fontId="32" fillId="0" borderId="0" xfId="0" applyFont="1"/>
    <xf numFmtId="0" fontId="33" fillId="0" borderId="0" xfId="0" applyFont="1" applyAlignment="1">
      <alignment horizontal="center" vertical="top"/>
    </xf>
    <xf numFmtId="0" fontId="5" fillId="0" borderId="0" xfId="0" applyFont="1" applyAlignment="1">
      <alignment vertical="top"/>
    </xf>
    <xf numFmtId="0" fontId="12" fillId="0" borderId="17" xfId="0" applyFont="1" applyBorder="1"/>
    <xf numFmtId="0" fontId="34" fillId="0" borderId="0" xfId="0" applyFont="1" applyAlignment="1">
      <alignment horizontal="center"/>
    </xf>
    <xf numFmtId="0" fontId="16" fillId="0" borderId="0" xfId="0" applyFont="1"/>
    <xf numFmtId="0" fontId="35" fillId="0" borderId="0" xfId="0" applyFont="1" applyAlignment="1">
      <alignment horizontal="center" vertical="top"/>
    </xf>
    <xf numFmtId="0" fontId="35" fillId="0" borderId="0" xfId="0" applyFont="1" applyAlignment="1">
      <alignment horizontal="center"/>
    </xf>
    <xf numFmtId="0" fontId="36" fillId="0" borderId="0" xfId="0" applyFont="1"/>
    <xf numFmtId="0" fontId="16" fillId="0" borderId="0" xfId="0" applyFont="1" applyAlignment="1">
      <alignment vertical="center"/>
    </xf>
    <xf numFmtId="1" fontId="29" fillId="0" borderId="0" xfId="0" applyNumberFormat="1" applyFont="1" applyAlignment="1">
      <alignment horizontal="left"/>
    </xf>
    <xf numFmtId="0" fontId="29" fillId="0" borderId="0" xfId="0" applyFont="1" applyAlignment="1">
      <alignment horizontal="left"/>
    </xf>
    <xf numFmtId="0" fontId="8" fillId="0" borderId="0" xfId="0" applyFont="1" applyAlignment="1">
      <alignment horizontal="right"/>
    </xf>
    <xf numFmtId="1" fontId="16" fillId="4" borderId="20" xfId="0" applyNumberFormat="1" applyFont="1" applyFill="1" applyBorder="1"/>
    <xf numFmtId="1" fontId="16" fillId="4" borderId="21" xfId="0" applyNumberFormat="1" applyFont="1" applyFill="1" applyBorder="1"/>
    <xf numFmtId="0" fontId="7" fillId="0" borderId="0" xfId="0" applyFont="1" applyAlignment="1">
      <alignment horizontal="right"/>
    </xf>
    <xf numFmtId="0" fontId="7" fillId="0" borderId="0" xfId="0" applyFont="1" applyAlignment="1">
      <alignment horizontal="center"/>
    </xf>
    <xf numFmtId="0" fontId="15" fillId="0" borderId="16" xfId="0" applyFont="1" applyBorder="1"/>
    <xf numFmtId="0" fontId="15" fillId="0" borderId="5" xfId="0" applyFont="1" applyBorder="1"/>
    <xf numFmtId="0" fontId="12" fillId="0" borderId="0" xfId="0" applyFont="1" applyAlignment="1">
      <alignment horizontal="left" indent="1"/>
    </xf>
    <xf numFmtId="9" fontId="12" fillId="0" borderId="0" xfId="0" applyNumberFormat="1" applyFont="1" applyAlignment="1">
      <alignment horizontal="center"/>
    </xf>
    <xf numFmtId="0" fontId="8" fillId="0" borderId="0" xfId="0" applyFont="1" applyAlignment="1">
      <alignment shrinkToFit="1"/>
    </xf>
    <xf numFmtId="0" fontId="37" fillId="0" borderId="0" xfId="0" applyFont="1" applyAlignment="1">
      <alignment horizontal="right"/>
    </xf>
    <xf numFmtId="9" fontId="15" fillId="0" borderId="0" xfId="0" applyNumberFormat="1" applyFont="1" applyAlignment="1">
      <alignment horizontal="center"/>
    </xf>
    <xf numFmtId="0" fontId="12" fillId="0" borderId="16" xfId="0" applyFont="1" applyBorder="1"/>
    <xf numFmtId="0" fontId="12" fillId="0" borderId="5" xfId="0" applyFont="1" applyBorder="1"/>
    <xf numFmtId="1" fontId="16" fillId="0" borderId="16" xfId="0" applyNumberFormat="1" applyFont="1" applyBorder="1" applyAlignment="1">
      <alignment horizontal="right"/>
    </xf>
    <xf numFmtId="1" fontId="16" fillId="0" borderId="5" xfId="0" applyNumberFormat="1" applyFont="1" applyBorder="1" applyAlignment="1">
      <alignment horizontal="right"/>
    </xf>
    <xf numFmtId="0" fontId="16" fillId="7" borderId="15" xfId="0" applyFont="1" applyFill="1" applyBorder="1"/>
    <xf numFmtId="0" fontId="12" fillId="0" borderId="12" xfId="0" applyFont="1" applyBorder="1" applyAlignment="1">
      <alignment horizontal="right"/>
    </xf>
    <xf numFmtId="1" fontId="12" fillId="0" borderId="16" xfId="0" applyNumberFormat="1" applyFont="1" applyBorder="1" applyAlignment="1">
      <alignment horizontal="right"/>
    </xf>
    <xf numFmtId="1" fontId="12" fillId="0" borderId="5" xfId="0" applyNumberFormat="1" applyFont="1" applyBorder="1" applyAlignment="1">
      <alignment horizontal="right"/>
    </xf>
    <xf numFmtId="9" fontId="9" fillId="0" borderId="0" xfId="0" applyNumberFormat="1" applyFont="1" applyAlignment="1">
      <alignment horizontal="center"/>
    </xf>
    <xf numFmtId="1" fontId="12" fillId="0" borderId="22" xfId="0" applyNumberFormat="1" applyFont="1" applyBorder="1" applyAlignment="1">
      <alignment horizontal="right"/>
    </xf>
    <xf numFmtId="1" fontId="12" fillId="0" borderId="18" xfId="0" applyNumberFormat="1" applyFont="1" applyBorder="1" applyAlignment="1">
      <alignment horizontal="right"/>
    </xf>
    <xf numFmtId="0" fontId="12" fillId="8" borderId="0" xfId="0" applyFont="1" applyFill="1" applyAlignment="1">
      <alignment horizontal="left"/>
    </xf>
    <xf numFmtId="0" fontId="15" fillId="8" borderId="0" xfId="0" applyFont="1" applyFill="1" applyAlignment="1">
      <alignment horizontal="center"/>
    </xf>
    <xf numFmtId="1" fontId="15" fillId="8" borderId="0" xfId="0" applyNumberFormat="1" applyFont="1" applyFill="1" applyAlignment="1">
      <alignment horizontal="left" indent="1"/>
    </xf>
    <xf numFmtId="1" fontId="12" fillId="8" borderId="0" xfId="0" applyNumberFormat="1" applyFont="1" applyFill="1"/>
    <xf numFmtId="0" fontId="34" fillId="0" borderId="0" xfId="0" applyFont="1" applyAlignment="1">
      <alignment horizontal="right"/>
    </xf>
    <xf numFmtId="0" fontId="29" fillId="0" borderId="0" xfId="0" applyFont="1"/>
    <xf numFmtId="0" fontId="38" fillId="0" borderId="0" xfId="0" applyFont="1" applyAlignment="1">
      <alignment horizontal="left"/>
    </xf>
    <xf numFmtId="0" fontId="33" fillId="0" borderId="0" xfId="0" applyFont="1" applyAlignment="1">
      <alignment horizontal="right"/>
    </xf>
    <xf numFmtId="1" fontId="39" fillId="0" borderId="16" xfId="0" applyNumberFormat="1" applyFont="1" applyBorder="1" applyAlignment="1">
      <alignment horizontal="right"/>
    </xf>
    <xf numFmtId="0" fontId="35" fillId="0" borderId="4" xfId="0" applyFont="1" applyBorder="1" applyAlignment="1">
      <alignment horizontal="center"/>
    </xf>
    <xf numFmtId="1" fontId="12" fillId="0" borderId="22" xfId="0" applyNumberFormat="1" applyFont="1" applyBorder="1"/>
    <xf numFmtId="1" fontId="12" fillId="0" borderId="18" xfId="0" applyNumberFormat="1" applyFont="1" applyBorder="1"/>
    <xf numFmtId="0" fontId="10" fillId="0" borderId="0" xfId="0" applyFont="1" applyAlignment="1">
      <alignment horizontal="right"/>
    </xf>
    <xf numFmtId="0" fontId="40" fillId="0" borderId="0" xfId="0" applyFont="1"/>
    <xf numFmtId="0" fontId="41" fillId="0" borderId="0" xfId="0" applyFont="1" applyAlignment="1">
      <alignment horizontal="left" shrinkToFit="1"/>
    </xf>
    <xf numFmtId="0" fontId="41" fillId="0" borderId="0" xfId="0" applyFont="1" applyAlignment="1">
      <alignment horizontal="left" shrinkToFit="1"/>
    </xf>
    <xf numFmtId="0" fontId="20" fillId="0" borderId="0" xfId="0" applyFont="1"/>
    <xf numFmtId="0" fontId="4" fillId="0" borderId="0" xfId="0" applyFont="1" applyAlignment="1">
      <alignment horizontal="left" shrinkToFit="1"/>
    </xf>
    <xf numFmtId="1" fontId="42" fillId="0" borderId="0" xfId="0" applyNumberFormat="1" applyFont="1" applyAlignment="1">
      <alignment horizontal="center"/>
    </xf>
    <xf numFmtId="0" fontId="43" fillId="0" borderId="0" xfId="0" applyFont="1" applyAlignment="1">
      <alignment horizontal="left" shrinkToFit="1"/>
    </xf>
    <xf numFmtId="0" fontId="15" fillId="0" borderId="0" xfId="0" applyFont="1" applyAlignment="1">
      <alignment horizontal="left" indent="11"/>
    </xf>
    <xf numFmtId="1" fontId="8" fillId="0" borderId="23" xfId="0" applyNumberFormat="1" applyFont="1" applyBorder="1" applyAlignment="1">
      <alignment shrinkToFit="1"/>
    </xf>
    <xf numFmtId="0" fontId="16" fillId="0" borderId="24" xfId="0" applyFont="1" applyBorder="1"/>
    <xf numFmtId="0" fontId="12" fillId="0" borderId="24" xfId="0" applyFont="1" applyBorder="1"/>
    <xf numFmtId="0" fontId="44" fillId="0" borderId="24" xfId="0" applyFont="1" applyBorder="1"/>
    <xf numFmtId="0" fontId="29" fillId="0" borderId="24" xfId="0" applyFont="1" applyBorder="1" applyAlignment="1">
      <alignment horizontal="left"/>
    </xf>
    <xf numFmtId="0" fontId="12" fillId="0" borderId="24" xfId="0" applyFont="1" applyBorder="1" applyAlignment="1">
      <alignment horizontal="center"/>
    </xf>
    <xf numFmtId="1" fontId="16" fillId="4" borderId="25" xfId="2" applyNumberFormat="1" applyFont="1" applyFill="1" applyBorder="1"/>
    <xf numFmtId="1" fontId="16" fillId="4" borderId="26" xfId="2" applyNumberFormat="1" applyFont="1" applyFill="1" applyBorder="1"/>
    <xf numFmtId="0" fontId="45" fillId="0" borderId="1" xfId="0" applyFont="1" applyBorder="1" applyAlignment="1">
      <alignment horizontal="center"/>
    </xf>
    <xf numFmtId="0" fontId="45" fillId="0" borderId="2" xfId="0" applyFont="1" applyBorder="1" applyAlignment="1">
      <alignment horizontal="center"/>
    </xf>
    <xf numFmtId="0" fontId="45" fillId="0" borderId="3" xfId="0" applyFont="1" applyBorder="1" applyAlignment="1">
      <alignment horizontal="center"/>
    </xf>
    <xf numFmtId="0" fontId="20" fillId="0" borderId="15" xfId="0" applyFont="1" applyBorder="1"/>
    <xf numFmtId="14" fontId="46" fillId="0" borderId="7" xfId="0" applyNumberFormat="1" applyFont="1" applyBorder="1" applyAlignment="1">
      <alignment horizontal="center" shrinkToFit="1"/>
    </xf>
    <xf numFmtId="0" fontId="46" fillId="0" borderId="8" xfId="0" applyFont="1" applyBorder="1" applyAlignment="1">
      <alignment horizontal="center" shrinkToFit="1"/>
    </xf>
    <xf numFmtId="0" fontId="47" fillId="0" borderId="8" xfId="0" applyFont="1" applyBorder="1"/>
    <xf numFmtId="0" fontId="48" fillId="0" borderId="8" xfId="0" applyFont="1" applyBorder="1" applyAlignment="1">
      <alignment horizontal="center"/>
    </xf>
    <xf numFmtId="0" fontId="49" fillId="0" borderId="8" xfId="0" applyFont="1" applyBorder="1" applyAlignment="1">
      <alignment horizontal="center"/>
    </xf>
    <xf numFmtId="0" fontId="50" fillId="0" borderId="8" xfId="0" applyFont="1" applyBorder="1" applyAlignment="1">
      <alignment horizontal="center"/>
    </xf>
    <xf numFmtId="0" fontId="50" fillId="0" borderId="9" xfId="0" applyFont="1" applyBorder="1" applyAlignment="1">
      <alignment horizontal="center"/>
    </xf>
    <xf numFmtId="0" fontId="46" fillId="0" borderId="0" xfId="0" applyFont="1" applyAlignment="1">
      <alignment shrinkToFit="1"/>
    </xf>
    <xf numFmtId="0" fontId="46" fillId="0" borderId="0" xfId="0" applyFont="1"/>
    <xf numFmtId="0" fontId="10" fillId="0" borderId="0" xfId="0" applyFont="1"/>
    <xf numFmtId="0" fontId="46" fillId="0" borderId="0" xfId="0" applyFont="1" applyAlignment="1">
      <alignment horizontal="left" indent="1"/>
    </xf>
    <xf numFmtId="0" fontId="33" fillId="0" borderId="0" xfId="0" applyFont="1" applyAlignment="1">
      <alignment shrinkToFit="1"/>
    </xf>
    <xf numFmtId="0" fontId="33" fillId="0" borderId="0" xfId="0" applyFont="1"/>
    <xf numFmtId="0" fontId="33" fillId="0" borderId="0" xfId="0" applyFont="1" applyAlignment="1">
      <alignment horizontal="left" indent="1"/>
    </xf>
    <xf numFmtId="0" fontId="1" fillId="0" borderId="0" xfId="0" applyFont="1"/>
    <xf numFmtId="14" fontId="5" fillId="0" borderId="0" xfId="0" applyNumberFormat="1" applyFont="1"/>
    <xf numFmtId="0" fontId="40" fillId="0" borderId="0" xfId="0" applyFont="1" applyAlignment="1">
      <alignment horizontal="left"/>
    </xf>
    <xf numFmtId="0" fontId="40" fillId="0" borderId="0" xfId="0" applyFont="1" applyAlignment="1">
      <alignment horizontal="center"/>
    </xf>
    <xf numFmtId="0" fontId="5" fillId="0" borderId="0" xfId="0" applyFont="1" applyAlignment="1">
      <alignment horizontal="left" indent="1"/>
    </xf>
    <xf numFmtId="0" fontId="1" fillId="0" borderId="0" xfId="0" applyFont="1" applyAlignment="1">
      <alignment horizontal="left"/>
    </xf>
    <xf numFmtId="1" fontId="1" fillId="0" borderId="0" xfId="0" applyNumberFormat="1" applyFont="1"/>
    <xf numFmtId="0" fontId="47" fillId="0" borderId="0" xfId="0" applyFont="1"/>
    <xf numFmtId="0" fontId="47" fillId="0" borderId="0" xfId="0" applyFont="1" applyAlignment="1">
      <alignment horizontal="left" indent="1"/>
    </xf>
    <xf numFmtId="0" fontId="51" fillId="0" borderId="0" xfId="0" applyFont="1"/>
    <xf numFmtId="1" fontId="12" fillId="0" borderId="17" xfId="0" applyNumberFormat="1" applyFont="1" applyBorder="1"/>
    <xf numFmtId="0" fontId="12" fillId="0" borderId="15" xfId="0" applyFont="1" applyBorder="1"/>
    <xf numFmtId="0" fontId="8" fillId="0" borderId="15" xfId="0" applyFont="1" applyBorder="1" applyAlignment="1">
      <alignment horizontal="right"/>
    </xf>
    <xf numFmtId="1" fontId="12" fillId="0" borderId="15" xfId="0" applyNumberFormat="1" applyFont="1" applyBorder="1"/>
    <xf numFmtId="0" fontId="15" fillId="0" borderId="0" xfId="0" applyFont="1" applyAlignment="1">
      <alignment horizontal="center"/>
    </xf>
    <xf numFmtId="0" fontId="52" fillId="0" borderId="0" xfId="0" applyFont="1" applyAlignment="1">
      <alignment horizontal="left"/>
    </xf>
    <xf numFmtId="0" fontId="10" fillId="0" borderId="0" xfId="0" applyFont="1" applyAlignment="1">
      <alignment horizontal="left" indent="1"/>
    </xf>
    <xf numFmtId="0" fontId="53" fillId="9" borderId="1" xfId="2" applyFont="1" applyFill="1" applyBorder="1" applyAlignment="1">
      <alignment horizontal="center"/>
    </xf>
    <xf numFmtId="0" fontId="53" fillId="9" borderId="3" xfId="2" applyFont="1" applyFill="1" applyBorder="1" applyAlignment="1">
      <alignment horizontal="center"/>
    </xf>
    <xf numFmtId="0" fontId="12" fillId="0" borderId="0" xfId="2" applyFont="1"/>
    <xf numFmtId="0" fontId="1" fillId="9" borderId="4" xfId="2" applyFill="1" applyBorder="1" applyAlignment="1">
      <alignment horizontal="left" indent="1"/>
    </xf>
    <xf numFmtId="0" fontId="1" fillId="9" borderId="5" xfId="2" applyFill="1" applyBorder="1" applyAlignment="1">
      <alignment horizontal="center"/>
    </xf>
    <xf numFmtId="0" fontId="8" fillId="0" borderId="0" xfId="0" applyFont="1" applyAlignment="1">
      <alignment horizontal="left"/>
    </xf>
    <xf numFmtId="9" fontId="1" fillId="9" borderId="5" xfId="1" applyFont="1" applyFill="1" applyBorder="1" applyAlignment="1">
      <alignment horizontal="center"/>
    </xf>
    <xf numFmtId="0" fontId="51" fillId="0" borderId="0" xfId="0" applyFont="1" applyAlignment="1">
      <alignment horizontal="left" indent="1"/>
    </xf>
    <xf numFmtId="0" fontId="8" fillId="0" borderId="15" xfId="0" applyFont="1" applyBorder="1" applyAlignment="1">
      <alignment horizontal="left"/>
    </xf>
    <xf numFmtId="0" fontId="39" fillId="4" borderId="15" xfId="0" applyFont="1" applyFill="1" applyBorder="1"/>
    <xf numFmtId="0" fontId="54" fillId="10" borderId="0" xfId="2" applyFont="1" applyFill="1"/>
    <xf numFmtId="0" fontId="55" fillId="10" borderId="0" xfId="2" applyFont="1" applyFill="1"/>
    <xf numFmtId="0" fontId="11" fillId="10" borderId="0" xfId="2" applyFont="1" applyFill="1"/>
    <xf numFmtId="1" fontId="16" fillId="10" borderId="0" xfId="2" applyNumberFormat="1" applyFont="1" applyFill="1"/>
    <xf numFmtId="0" fontId="56" fillId="11" borderId="1" xfId="2" applyFont="1" applyFill="1" applyBorder="1" applyAlignment="1">
      <alignment horizontal="center"/>
    </xf>
    <xf numFmtId="0" fontId="56" fillId="11" borderId="3" xfId="2" applyFont="1" applyFill="1" applyBorder="1" applyAlignment="1">
      <alignment horizontal="center"/>
    </xf>
    <xf numFmtId="0" fontId="1" fillId="0" borderId="0" xfId="0" applyFont="1" applyAlignment="1">
      <alignment horizontal="center"/>
    </xf>
    <xf numFmtId="0" fontId="57" fillId="0" borderId="0" xfId="2" applyFont="1"/>
    <xf numFmtId="0" fontId="1" fillId="0" borderId="0" xfId="2"/>
    <xf numFmtId="0" fontId="5" fillId="0" borderId="0" xfId="2" applyFont="1"/>
    <xf numFmtId="2" fontId="58" fillId="0" borderId="0" xfId="2" applyNumberFormat="1" applyFont="1"/>
    <xf numFmtId="0" fontId="1" fillId="11" borderId="4" xfId="2" applyFill="1" applyBorder="1" applyAlignment="1">
      <alignment horizontal="left" indent="1"/>
    </xf>
    <xf numFmtId="0" fontId="1" fillId="11" borderId="5" xfId="2" applyFill="1" applyBorder="1"/>
    <xf numFmtId="1" fontId="0" fillId="0" borderId="0" xfId="0" applyNumberFormat="1" applyAlignment="1">
      <alignment horizontal="left"/>
    </xf>
    <xf numFmtId="0" fontId="24" fillId="0" borderId="0" xfId="2" applyFont="1"/>
    <xf numFmtId="1" fontId="1" fillId="0" borderId="0" xfId="2" applyNumberFormat="1"/>
    <xf numFmtId="0" fontId="1" fillId="11" borderId="4" xfId="2" applyFill="1" applyBorder="1" applyAlignment="1">
      <alignment horizontal="center"/>
    </xf>
    <xf numFmtId="0" fontId="1" fillId="11" borderId="5" xfId="2" applyFill="1" applyBorder="1" applyAlignment="1">
      <alignment horizontal="center"/>
    </xf>
    <xf numFmtId="1" fontId="0" fillId="0" borderId="0" xfId="0" applyNumberFormat="1" applyAlignment="1">
      <alignment horizontal="center"/>
    </xf>
    <xf numFmtId="2" fontId="54" fillId="0" borderId="0" xfId="2" applyNumberFormat="1" applyFont="1" applyAlignment="1">
      <alignment horizontal="center"/>
    </xf>
    <xf numFmtId="0" fontId="1" fillId="11" borderId="7" xfId="2" applyFill="1" applyBorder="1" applyAlignment="1">
      <alignment horizontal="left" indent="1"/>
    </xf>
    <xf numFmtId="0" fontId="1" fillId="11" borderId="9" xfId="2" applyFill="1" applyBorder="1"/>
    <xf numFmtId="1" fontId="1" fillId="0" borderId="15" xfId="2" applyNumberFormat="1" applyBorder="1"/>
    <xf numFmtId="1" fontId="9" fillId="0" borderId="0" xfId="2" applyNumberFormat="1" applyFont="1"/>
    <xf numFmtId="0" fontId="1" fillId="0" borderId="0" xfId="2" applyAlignment="1">
      <alignment horizontal="center"/>
    </xf>
    <xf numFmtId="0" fontId="24" fillId="0" borderId="0" xfId="2" applyFont="1" applyAlignment="1">
      <alignment horizontal="center" vertical="center"/>
    </xf>
    <xf numFmtId="0" fontId="1" fillId="0" borderId="0" xfId="2" applyAlignment="1">
      <alignment horizontal="center" vertical="center"/>
    </xf>
    <xf numFmtId="1" fontId="46" fillId="0" borderId="0" xfId="2" applyNumberFormat="1" applyFont="1" applyAlignment="1">
      <alignment horizontal="center" vertical="center" wrapText="1"/>
    </xf>
    <xf numFmtId="1" fontId="1" fillId="0" borderId="0" xfId="2" applyNumberFormat="1" applyAlignment="1">
      <alignment horizontal="center" vertical="center"/>
    </xf>
    <xf numFmtId="0" fontId="8" fillId="0" borderId="0" xfId="0" applyFont="1" applyAlignment="1">
      <alignment horizontal="center" shrinkToFit="1"/>
    </xf>
    <xf numFmtId="165" fontId="1" fillId="0" borderId="0" xfId="2" applyNumberFormat="1" applyAlignment="1">
      <alignment horizontal="center"/>
    </xf>
    <xf numFmtId="1" fontId="1" fillId="6" borderId="0" xfId="2" applyNumberFormat="1" applyFill="1"/>
    <xf numFmtId="1" fontId="1" fillId="0" borderId="0" xfId="2" applyNumberFormat="1" applyAlignment="1">
      <alignment horizontal="center"/>
    </xf>
    <xf numFmtId="2" fontId="59" fillId="0" borderId="0" xfId="2" applyNumberFormat="1" applyFont="1" applyAlignment="1">
      <alignment horizontal="center"/>
    </xf>
    <xf numFmtId="0" fontId="59" fillId="0" borderId="0" xfId="0" applyFont="1" applyAlignment="1">
      <alignment horizontal="center"/>
    </xf>
    <xf numFmtId="0" fontId="59" fillId="0" borderId="0" xfId="0" applyFont="1"/>
    <xf numFmtId="1" fontId="59" fillId="0" borderId="0" xfId="0" applyNumberFormat="1" applyFont="1" applyAlignment="1">
      <alignment horizontal="center"/>
    </xf>
    <xf numFmtId="2" fontId="1" fillId="0" borderId="0" xfId="2" applyNumberFormat="1"/>
    <xf numFmtId="2" fontId="1" fillId="0" borderId="0" xfId="2" applyNumberFormat="1" applyAlignment="1">
      <alignment horizontal="center"/>
    </xf>
    <xf numFmtId="10" fontId="55" fillId="0" borderId="0" xfId="3" applyNumberFormat="1" applyFont="1" applyBorder="1" applyAlignment="1">
      <alignment horizontal="center"/>
    </xf>
    <xf numFmtId="1" fontId="55" fillId="0" borderId="15" xfId="2" applyNumberFormat="1" applyFont="1" applyBorder="1"/>
    <xf numFmtId="1" fontId="55" fillId="4" borderId="15" xfId="2" applyNumberFormat="1" applyFont="1" applyFill="1" applyBorder="1" applyAlignment="1">
      <alignment horizontal="center"/>
    </xf>
    <xf numFmtId="0" fontId="8" fillId="0" borderId="8" xfId="0" applyFont="1" applyBorder="1" applyAlignment="1">
      <alignment shrinkToFit="1"/>
    </xf>
    <xf numFmtId="0" fontId="1" fillId="0" borderId="8" xfId="2" applyBorder="1"/>
    <xf numFmtId="1" fontId="55" fillId="0" borderId="8" xfId="2" applyNumberFormat="1" applyFont="1" applyBorder="1"/>
    <xf numFmtId="2" fontId="55" fillId="0" borderId="0" xfId="2" applyNumberFormat="1" applyFont="1"/>
    <xf numFmtId="17" fontId="1" fillId="0" borderId="0" xfId="2" applyNumberFormat="1" applyAlignment="1">
      <alignment horizontal="center"/>
    </xf>
    <xf numFmtId="0" fontId="24" fillId="0" borderId="0" xfId="2" applyFont="1" applyAlignment="1">
      <alignment horizontal="left" indent="1"/>
    </xf>
    <xf numFmtId="9" fontId="5" fillId="0" borderId="0" xfId="2" applyNumberFormat="1" applyFont="1" applyAlignment="1">
      <alignment horizontal="center"/>
    </xf>
    <xf numFmtId="0" fontId="60" fillId="0" borderId="0" xfId="2" applyFont="1" applyAlignment="1">
      <alignment horizontal="left"/>
    </xf>
    <xf numFmtId="1" fontId="12" fillId="0" borderId="0" xfId="0" applyNumberFormat="1" applyFont="1" applyAlignment="1">
      <alignment horizontal="center"/>
    </xf>
    <xf numFmtId="2" fontId="9" fillId="0" borderId="0" xfId="2" applyNumberFormat="1" applyFont="1" applyAlignment="1">
      <alignment horizontal="center"/>
    </xf>
    <xf numFmtId="1" fontId="9" fillId="0" borderId="0" xfId="0" applyNumberFormat="1" applyFont="1" applyAlignment="1">
      <alignment horizontal="center"/>
    </xf>
    <xf numFmtId="165" fontId="23" fillId="6" borderId="0" xfId="2" applyNumberFormat="1" applyFont="1" applyFill="1" applyAlignment="1">
      <alignment horizontal="center"/>
    </xf>
    <xf numFmtId="1" fontId="60" fillId="0" borderId="0" xfId="2" applyNumberFormat="1" applyFont="1" applyAlignment="1">
      <alignment horizontal="left"/>
    </xf>
    <xf numFmtId="2" fontId="55" fillId="0" borderId="0" xfId="2" applyNumberFormat="1" applyFont="1" applyAlignment="1">
      <alignment horizontal="center"/>
    </xf>
    <xf numFmtId="1" fontId="60" fillId="0" borderId="0" xfId="2" applyNumberFormat="1" applyFont="1" applyAlignment="1">
      <alignment horizontal="right"/>
    </xf>
    <xf numFmtId="1" fontId="1" fillId="0" borderId="0" xfId="2" applyNumberFormat="1" applyAlignment="1">
      <alignment horizontal="right"/>
    </xf>
    <xf numFmtId="0" fontId="12" fillId="0" borderId="8" xfId="0" applyFont="1" applyBorder="1"/>
    <xf numFmtId="0" fontId="24" fillId="0" borderId="8" xfId="2" applyFont="1" applyBorder="1"/>
    <xf numFmtId="1" fontId="1" fillId="0" borderId="8" xfId="2" applyNumberFormat="1" applyBorder="1" applyAlignment="1">
      <alignment horizontal="right"/>
    </xf>
    <xf numFmtId="1" fontId="1" fillId="0" borderId="8" xfId="2" applyNumberFormat="1" applyBorder="1"/>
    <xf numFmtId="2" fontId="55" fillId="0" borderId="8" xfId="2" applyNumberFormat="1" applyFont="1" applyBorder="1" applyAlignment="1">
      <alignment horizontal="center"/>
    </xf>
    <xf numFmtId="14" fontId="1" fillId="0" borderId="0" xfId="2" applyNumberFormat="1" applyAlignment="1">
      <alignment horizontal="center"/>
    </xf>
    <xf numFmtId="2" fontId="61" fillId="0" borderId="0" xfId="2" applyNumberFormat="1" applyFont="1" applyAlignment="1">
      <alignment horizontal="center"/>
    </xf>
    <xf numFmtId="0" fontId="61" fillId="0" borderId="0" xfId="0" applyFont="1" applyAlignment="1">
      <alignment horizontal="center"/>
    </xf>
    <xf numFmtId="0" fontId="61" fillId="0" borderId="0" xfId="0" applyFont="1"/>
    <xf numFmtId="1" fontId="61" fillId="0" borderId="0" xfId="0" applyNumberFormat="1" applyFont="1" applyAlignment="1">
      <alignment horizontal="center"/>
    </xf>
    <xf numFmtId="17" fontId="1" fillId="0" borderId="0" xfId="2" applyNumberFormat="1"/>
    <xf numFmtId="0" fontId="62" fillId="0" borderId="1" xfId="2" applyFont="1" applyBorder="1"/>
    <xf numFmtId="0" fontId="15" fillId="0" borderId="2" xfId="0" applyFont="1" applyBorder="1"/>
    <xf numFmtId="0" fontId="63" fillId="0" borderId="2" xfId="0" applyFont="1" applyBorder="1" applyAlignment="1">
      <alignment horizontal="center"/>
    </xf>
    <xf numFmtId="0" fontId="63" fillId="0" borderId="3" xfId="0" applyFont="1" applyBorder="1" applyAlignment="1">
      <alignment horizontal="center"/>
    </xf>
    <xf numFmtId="0" fontId="64" fillId="0" borderId="0" xfId="0" applyFont="1"/>
    <xf numFmtId="0" fontId="9" fillId="0" borderId="4" xfId="2" applyFont="1" applyBorder="1"/>
    <xf numFmtId="0" fontId="20" fillId="0" borderId="0" xfId="2" applyFont="1"/>
    <xf numFmtId="0" fontId="65" fillId="0" borderId="4" xfId="0" applyFont="1" applyBorder="1" applyAlignment="1">
      <alignment horizontal="center" vertical="center"/>
    </xf>
    <xf numFmtId="0" fontId="67" fillId="0" borderId="0" xfId="0" applyFont="1" applyAlignment="1">
      <alignment horizontal="left" vertical="top" wrapText="1"/>
    </xf>
    <xf numFmtId="0" fontId="67" fillId="0" borderId="5" xfId="0" applyFont="1" applyBorder="1" applyAlignment="1">
      <alignment horizontal="left" vertical="top" wrapText="1"/>
    </xf>
    <xf numFmtId="0" fontId="17" fillId="0" borderId="0" xfId="2" applyFont="1" applyAlignment="1">
      <alignment horizontal="left" vertical="center"/>
    </xf>
    <xf numFmtId="0" fontId="15" fillId="0" borderId="4" xfId="0" applyFont="1" applyBorder="1" applyAlignment="1">
      <alignment shrinkToFit="1"/>
    </xf>
    <xf numFmtId="0" fontId="68" fillId="0" borderId="0" xfId="0" applyFont="1" applyAlignment="1">
      <alignment horizontal="left" vertical="top" wrapText="1"/>
    </xf>
    <xf numFmtId="0" fontId="68" fillId="0" borderId="5" xfId="0" applyFont="1" applyBorder="1" applyAlignment="1">
      <alignment horizontal="left" vertical="top" wrapText="1"/>
    </xf>
    <xf numFmtId="0" fontId="15" fillId="0" borderId="7" xfId="0" applyFont="1" applyBorder="1" applyAlignment="1">
      <alignment shrinkToFit="1"/>
    </xf>
    <xf numFmtId="0" fontId="67" fillId="0" borderId="8" xfId="0" applyFont="1" applyBorder="1" applyAlignment="1">
      <alignment horizontal="left" vertical="top" wrapText="1"/>
    </xf>
    <xf numFmtId="0" fontId="15" fillId="0" borderId="9" xfId="0" applyFont="1" applyBorder="1"/>
    <xf numFmtId="0" fontId="15" fillId="0" borderId="0" xfId="0" applyFont="1" applyAlignment="1">
      <alignment shrinkToFit="1"/>
    </xf>
    <xf numFmtId="0" fontId="67" fillId="0" borderId="0" xfId="0" applyFont="1" applyAlignment="1">
      <alignment horizontal="left" vertical="top" wrapText="1"/>
    </xf>
    <xf numFmtId="0" fontId="67" fillId="0" borderId="2" xfId="0" applyFont="1" applyBorder="1" applyAlignment="1">
      <alignment horizontal="left" vertical="top" wrapText="1"/>
    </xf>
    <xf numFmtId="0" fontId="70" fillId="0" borderId="2" xfId="0" applyFont="1" applyBorder="1" applyAlignment="1">
      <alignment horizontal="center"/>
    </xf>
    <xf numFmtId="0" fontId="70" fillId="0" borderId="3" xfId="0" applyFont="1" applyBorder="1" applyAlignment="1">
      <alignment horizontal="center"/>
    </xf>
    <xf numFmtId="0" fontId="71" fillId="0" borderId="0" xfId="2" applyFont="1"/>
    <xf numFmtId="0" fontId="12" fillId="0" borderId="0" xfId="2" applyFont="1" applyAlignment="1">
      <alignment horizontal="right"/>
    </xf>
    <xf numFmtId="0" fontId="15" fillId="0" borderId="0" xfId="2" applyFont="1"/>
    <xf numFmtId="0" fontId="8" fillId="0" borderId="0" xfId="2" applyFont="1"/>
    <xf numFmtId="0" fontId="8" fillId="0" borderId="7" xfId="0" applyFont="1" applyBorder="1" applyAlignment="1">
      <alignment shrinkToFit="1"/>
    </xf>
    <xf numFmtId="0" fontId="15" fillId="0" borderId="8" xfId="2" applyFont="1" applyBorder="1"/>
    <xf numFmtId="0" fontId="12" fillId="0" borderId="9" xfId="0" applyFont="1" applyBorder="1"/>
    <xf numFmtId="0" fontId="63" fillId="0" borderId="1" xfId="2" applyFont="1" applyBorder="1"/>
    <xf numFmtId="0" fontId="24" fillId="0" borderId="2" xfId="2" applyFont="1" applyBorder="1" applyAlignment="1">
      <alignment horizontal="center"/>
    </xf>
    <xf numFmtId="0" fontId="1" fillId="0" borderId="2" xfId="2" applyBorder="1" applyAlignment="1">
      <alignment horizontal="center"/>
    </xf>
    <xf numFmtId="0" fontId="35" fillId="0" borderId="2" xfId="2" applyFont="1" applyBorder="1"/>
    <xf numFmtId="0" fontId="12" fillId="0" borderId="2" xfId="0" applyFont="1" applyBorder="1"/>
    <xf numFmtId="0" fontId="12" fillId="0" borderId="3" xfId="0" applyFont="1" applyBorder="1"/>
    <xf numFmtId="0" fontId="12" fillId="0" borderId="4" xfId="2" applyFont="1" applyBorder="1" applyAlignment="1">
      <alignment horizontal="left" indent="1"/>
    </xf>
    <xf numFmtId="0" fontId="12" fillId="0" borderId="0" xfId="2" applyFont="1" applyAlignment="1">
      <alignment horizontal="left" indent="1"/>
    </xf>
    <xf numFmtId="0" fontId="1" fillId="0" borderId="0" xfId="2" applyAlignment="1">
      <alignment horizontal="right"/>
    </xf>
    <xf numFmtId="0" fontId="63" fillId="0" borderId="4" xfId="2" applyFont="1" applyBorder="1"/>
    <xf numFmtId="0" fontId="7" fillId="0" borderId="0" xfId="2" applyFont="1" applyAlignment="1">
      <alignment horizontal="left"/>
    </xf>
    <xf numFmtId="0" fontId="1" fillId="0" borderId="0" xfId="2" applyAlignment="1">
      <alignment horizontal="left" indent="1"/>
    </xf>
    <xf numFmtId="0" fontId="63" fillId="0" borderId="7" xfId="2" applyFont="1" applyBorder="1"/>
    <xf numFmtId="0" fontId="72" fillId="0" borderId="8" xfId="2" applyFont="1" applyBorder="1"/>
    <xf numFmtId="0" fontId="1" fillId="0" borderId="8" xfId="2" applyBorder="1" applyAlignment="1">
      <alignment horizontal="right"/>
    </xf>
    <xf numFmtId="0" fontId="16" fillId="0" borderId="0" xfId="2" applyFont="1"/>
  </cellXfs>
  <cellStyles count="4">
    <cellStyle name="Normal" xfId="0" builtinId="0"/>
    <cellStyle name="Normal 2 2" xfId="2" xr:uid="{977BD35E-E152-4F95-9FF4-72B95E29F4F4}"/>
    <cellStyle name="Percent" xfId="1" builtinId="5"/>
    <cellStyle name="Percent 2" xfId="3" xr:uid="{66FED817-2F20-4FFB-9234-60FE0F1300D3}"/>
  </cellStyles>
  <dxfs count="1">
    <dxf>
      <font>
        <condense val="0"/>
        <extend val="0"/>
        <color indexed="12"/>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FC462-0B2B-48E4-BCD8-72932ED10540}">
  <sheetPr>
    <pageSetUpPr fitToPage="1"/>
  </sheetPr>
  <dimension ref="A1:N164"/>
  <sheetViews>
    <sheetView showZeros="0" tabSelected="1" zoomScale="120" workbookViewId="0">
      <selection activeCell="H58" sqref="H58"/>
    </sheetView>
  </sheetViews>
  <sheetFormatPr defaultColWidth="9.109375" defaultRowHeight="15" customHeight="1" x14ac:dyDescent="0.25"/>
  <cols>
    <col min="1" max="1" width="4" style="112" customWidth="1"/>
    <col min="2" max="2" width="9.6640625" style="18" customWidth="1"/>
    <col min="3" max="3" width="10.6640625" style="18" customWidth="1"/>
    <col min="4" max="4" width="12.6640625" style="18" customWidth="1"/>
    <col min="5" max="5" width="15.88671875" style="18" customWidth="1"/>
    <col min="6" max="6" width="10.44140625" style="18" customWidth="1"/>
    <col min="7" max="7" width="10.6640625" style="18" customWidth="1"/>
    <col min="8" max="8" width="12.6640625" style="18" customWidth="1"/>
    <col min="9" max="9" width="3.44140625" style="18" customWidth="1"/>
    <col min="10" max="10" width="4.44140625" style="18" customWidth="1"/>
    <col min="11" max="11" width="29.88671875" style="18" customWidth="1"/>
    <col min="12" max="12" width="10" style="18" customWidth="1"/>
    <col min="13" max="13" width="10.5546875" style="18" customWidth="1"/>
    <col min="14" max="14" width="10.6640625" style="18" customWidth="1"/>
    <col min="15" max="16384" width="9.109375" style="18"/>
  </cols>
  <sheetData>
    <row r="1" spans="1:14" s="9" customFormat="1" ht="14.25" customHeight="1" x14ac:dyDescent="0.3">
      <c r="A1" s="1" t="s">
        <v>0</v>
      </c>
      <c r="B1" s="2"/>
      <c r="C1" s="2"/>
      <c r="D1" s="3" t="s">
        <v>1</v>
      </c>
      <c r="E1" s="3"/>
      <c r="F1" s="3"/>
      <c r="G1" s="3"/>
      <c r="H1" s="3"/>
      <c r="I1" s="4"/>
      <c r="J1" s="5" t="s">
        <v>2</v>
      </c>
      <c r="K1" s="6"/>
      <c r="L1" s="6"/>
      <c r="M1" s="7"/>
      <c r="N1" s="8" t="s">
        <v>3</v>
      </c>
    </row>
    <row r="2" spans="1:14" ht="15" customHeight="1" thickBot="1" x14ac:dyDescent="0.3">
      <c r="A2" s="10" t="s">
        <v>4</v>
      </c>
      <c r="B2" s="11"/>
      <c r="C2" s="11"/>
      <c r="D2" s="12" t="s">
        <v>5</v>
      </c>
      <c r="E2" s="13" t="s">
        <v>6</v>
      </c>
      <c r="F2" s="14" t="s">
        <v>7</v>
      </c>
      <c r="G2" s="14"/>
      <c r="H2" s="15">
        <v>23696</v>
      </c>
      <c r="I2" s="16">
        <f>IF(H2&lt;22008,"Sr",0)</f>
        <v>0</v>
      </c>
      <c r="J2" s="17"/>
      <c r="M2" s="17" t="s">
        <v>8</v>
      </c>
      <c r="N2" s="19">
        <v>44402</v>
      </c>
    </row>
    <row r="3" spans="1:14" ht="15" customHeight="1" x14ac:dyDescent="0.25">
      <c r="A3" s="20"/>
      <c r="B3" s="21" t="s">
        <v>9</v>
      </c>
      <c r="G3" s="22"/>
      <c r="H3" s="23" t="s">
        <v>10</v>
      </c>
      <c r="I3" s="24"/>
      <c r="K3" s="25" t="s">
        <v>11</v>
      </c>
      <c r="L3" s="18">
        <v>4100000</v>
      </c>
      <c r="N3" s="26" t="s">
        <v>12</v>
      </c>
    </row>
    <row r="4" spans="1:14" ht="15" customHeight="1" x14ac:dyDescent="0.25">
      <c r="A4" s="27"/>
      <c r="B4" s="28" t="s">
        <v>13</v>
      </c>
      <c r="C4" s="29" t="s">
        <v>14</v>
      </c>
      <c r="G4" s="30">
        <f>+L8</f>
        <v>4227600</v>
      </c>
      <c r="H4" s="31"/>
      <c r="I4" s="32"/>
      <c r="K4" s="18" t="s">
        <v>15</v>
      </c>
      <c r="L4" s="18">
        <v>36000</v>
      </c>
      <c r="N4" s="33">
        <v>44561</v>
      </c>
    </row>
    <row r="5" spans="1:14" ht="15" customHeight="1" x14ac:dyDescent="0.25">
      <c r="A5" s="27"/>
      <c r="B5" s="28" t="s">
        <v>16</v>
      </c>
      <c r="C5" s="29" t="s">
        <v>17</v>
      </c>
      <c r="G5" s="30">
        <f>+L9+L10</f>
        <v>42000</v>
      </c>
      <c r="H5" s="31"/>
      <c r="I5" s="32"/>
      <c r="J5" s="17" t="s">
        <v>18</v>
      </c>
      <c r="K5" s="18" t="s">
        <v>19</v>
      </c>
      <c r="L5" s="18">
        <v>3600</v>
      </c>
      <c r="M5" s="18">
        <v>3600</v>
      </c>
      <c r="N5" s="34" t="s">
        <v>20</v>
      </c>
    </row>
    <row r="6" spans="1:14" ht="15" customHeight="1" thickBot="1" x14ac:dyDescent="0.3">
      <c r="A6" s="27"/>
      <c r="B6" s="28" t="s">
        <v>21</v>
      </c>
      <c r="C6" s="29" t="s">
        <v>22</v>
      </c>
      <c r="G6" s="35"/>
      <c r="H6" s="31"/>
      <c r="I6" s="32"/>
      <c r="J6" s="17"/>
      <c r="K6" s="18" t="s">
        <v>23</v>
      </c>
      <c r="L6" s="18">
        <v>40000</v>
      </c>
      <c r="M6" s="36"/>
      <c r="N6" s="37">
        <v>44480</v>
      </c>
    </row>
    <row r="7" spans="1:14" ht="15" customHeight="1" x14ac:dyDescent="0.25">
      <c r="A7" s="27"/>
      <c r="B7" s="21"/>
      <c r="C7" s="29"/>
      <c r="F7" s="38" t="s">
        <v>24</v>
      </c>
      <c r="G7" s="39">
        <f>G4+G5+G6</f>
        <v>4269600</v>
      </c>
      <c r="H7" s="31"/>
      <c r="I7" s="32"/>
      <c r="J7" s="17" t="s">
        <v>25</v>
      </c>
      <c r="K7" s="18" t="s">
        <v>26</v>
      </c>
      <c r="L7" s="18">
        <v>48000</v>
      </c>
      <c r="M7" s="18">
        <v>40000</v>
      </c>
      <c r="N7" s="40" t="s">
        <v>27</v>
      </c>
    </row>
    <row r="8" spans="1:14" ht="15" customHeight="1" thickBot="1" x14ac:dyDescent="0.3">
      <c r="A8" s="27"/>
      <c r="B8" s="41" t="s">
        <v>28</v>
      </c>
      <c r="C8" s="29" t="s">
        <v>29</v>
      </c>
      <c r="G8" s="35">
        <f>M8+M9</f>
        <v>55600</v>
      </c>
      <c r="H8" s="31"/>
      <c r="I8" s="32"/>
      <c r="L8" s="42">
        <f>SUM(L3:L7)</f>
        <v>4227600</v>
      </c>
      <c r="M8" s="42">
        <f>SUM(M2:M7)</f>
        <v>43600</v>
      </c>
      <c r="N8" s="43" t="s">
        <v>30</v>
      </c>
    </row>
    <row r="9" spans="1:14" ht="15" customHeight="1" thickTop="1" thickBot="1" x14ac:dyDescent="0.3">
      <c r="A9" s="27"/>
      <c r="B9" s="21"/>
      <c r="F9" s="38" t="s">
        <v>31</v>
      </c>
      <c r="G9" s="44">
        <f>G7-G8</f>
        <v>4214000</v>
      </c>
      <c r="H9" s="31"/>
      <c r="I9" s="32"/>
      <c r="K9" s="25" t="s">
        <v>32</v>
      </c>
      <c r="L9" s="18">
        <v>12000</v>
      </c>
      <c r="M9" s="18">
        <v>12000</v>
      </c>
      <c r="N9" s="45">
        <v>5000</v>
      </c>
    </row>
    <row r="10" spans="1:14" ht="15" customHeight="1" x14ac:dyDescent="0.25">
      <c r="A10" s="27"/>
      <c r="B10" s="28" t="s">
        <v>33</v>
      </c>
      <c r="C10" s="46" t="s">
        <v>34</v>
      </c>
      <c r="G10" s="35">
        <v>50000</v>
      </c>
      <c r="H10" s="31">
        <f>G9-G10</f>
        <v>4164000</v>
      </c>
      <c r="I10" s="32"/>
      <c r="J10" s="17"/>
      <c r="K10" s="18" t="s">
        <v>35</v>
      </c>
      <c r="L10" s="18">
        <v>30000</v>
      </c>
    </row>
    <row r="11" spans="1:14" ht="21" customHeight="1" x14ac:dyDescent="0.25">
      <c r="A11" s="27"/>
      <c r="B11" s="21" t="s">
        <v>36</v>
      </c>
      <c r="E11" s="47"/>
      <c r="G11" s="22"/>
      <c r="H11" s="31"/>
      <c r="I11" s="32"/>
      <c r="K11" s="48" t="s">
        <v>37</v>
      </c>
      <c r="L11" s="49"/>
    </row>
    <row r="12" spans="1:14" ht="15" customHeight="1" x14ac:dyDescent="0.25">
      <c r="A12" s="27"/>
      <c r="B12" s="50" t="s">
        <v>38</v>
      </c>
      <c r="C12" s="51" t="s">
        <v>39</v>
      </c>
      <c r="D12" s="29"/>
      <c r="E12" s="52" t="s">
        <v>40</v>
      </c>
      <c r="F12" s="17"/>
      <c r="G12" s="53">
        <f>L12*10/9</f>
        <v>2000000</v>
      </c>
      <c r="H12" s="54"/>
      <c r="I12" s="32"/>
      <c r="J12" s="17"/>
      <c r="K12" s="49" t="s">
        <v>41</v>
      </c>
      <c r="L12" s="49">
        <v>1800000</v>
      </c>
    </row>
    <row r="13" spans="1:14" ht="15" customHeight="1" x14ac:dyDescent="0.25">
      <c r="A13" s="27"/>
      <c r="C13" s="55" t="s">
        <v>42</v>
      </c>
      <c r="D13" s="29"/>
      <c r="E13" s="52" t="str">
        <f>+K14</f>
        <v>Paid by Assessee</v>
      </c>
      <c r="F13" s="17"/>
      <c r="G13" s="56">
        <f>+L14</f>
        <v>27000</v>
      </c>
      <c r="H13" s="54"/>
      <c r="I13" s="32"/>
      <c r="J13" s="17"/>
      <c r="K13" s="49" t="s">
        <v>43</v>
      </c>
      <c r="L13" s="49"/>
    </row>
    <row r="14" spans="1:14" ht="15" customHeight="1" x14ac:dyDescent="0.25">
      <c r="A14" s="27"/>
      <c r="C14" s="51"/>
      <c r="D14" s="29"/>
      <c r="F14" s="17"/>
      <c r="G14" s="57">
        <f>G12-G13</f>
        <v>1973000</v>
      </c>
      <c r="H14" s="54"/>
      <c r="I14" s="32"/>
      <c r="K14" s="58" t="s">
        <v>44</v>
      </c>
      <c r="L14" s="49">
        <v>27000</v>
      </c>
    </row>
    <row r="15" spans="1:14" ht="15" customHeight="1" x14ac:dyDescent="0.25">
      <c r="A15" s="27"/>
      <c r="B15" s="59" t="s">
        <v>45</v>
      </c>
      <c r="C15" s="46" t="s">
        <v>46</v>
      </c>
      <c r="D15" s="29"/>
      <c r="E15" s="46" t="s">
        <v>47</v>
      </c>
      <c r="F15" s="53">
        <f>G14*0.3</f>
        <v>591900</v>
      </c>
      <c r="H15" s="54"/>
      <c r="I15" s="32"/>
      <c r="K15" s="58" t="s">
        <v>48</v>
      </c>
      <c r="L15" s="49">
        <v>25000</v>
      </c>
    </row>
    <row r="16" spans="1:14" ht="15" customHeight="1" x14ac:dyDescent="0.25">
      <c r="A16" s="27"/>
      <c r="B16" s="28"/>
      <c r="C16" s="46"/>
      <c r="E16" s="46" t="s">
        <v>49</v>
      </c>
      <c r="F16" s="60">
        <f>+L17</f>
        <v>70000</v>
      </c>
      <c r="G16" s="61">
        <f>F15+F16</f>
        <v>661900</v>
      </c>
      <c r="H16" s="54">
        <f>G14-G16</f>
        <v>1311100</v>
      </c>
      <c r="I16" s="32"/>
      <c r="K16" s="58" t="s">
        <v>50</v>
      </c>
      <c r="L16" s="49">
        <v>42000</v>
      </c>
    </row>
    <row r="17" spans="1:13" ht="15" customHeight="1" x14ac:dyDescent="0.25">
      <c r="A17" s="27"/>
      <c r="B17" s="28"/>
      <c r="C17" s="28"/>
      <c r="D17" s="28"/>
      <c r="E17" s="28"/>
      <c r="F17" s="28"/>
      <c r="G17" s="28"/>
      <c r="H17" s="54"/>
      <c r="I17" s="32"/>
      <c r="K17" s="49" t="s">
        <v>51</v>
      </c>
      <c r="L17" s="49">
        <v>70000</v>
      </c>
    </row>
    <row r="18" spans="1:13" ht="15" customHeight="1" x14ac:dyDescent="0.25">
      <c r="A18" s="27"/>
      <c r="B18" s="50" t="s">
        <v>52</v>
      </c>
      <c r="C18" s="51" t="s">
        <v>53</v>
      </c>
      <c r="D18" s="29"/>
      <c r="E18" s="62"/>
      <c r="F18" s="17"/>
      <c r="G18" s="53" t="s">
        <v>54</v>
      </c>
      <c r="H18" s="54"/>
      <c r="I18" s="32"/>
      <c r="K18" s="48" t="s">
        <v>55</v>
      </c>
    </row>
    <row r="19" spans="1:13" ht="15" customHeight="1" x14ac:dyDescent="0.25">
      <c r="A19" s="27"/>
      <c r="C19" s="55" t="s">
        <v>42</v>
      </c>
      <c r="D19" s="29"/>
      <c r="E19" s="63"/>
      <c r="F19" s="17"/>
      <c r="G19" s="64" t="s">
        <v>54</v>
      </c>
      <c r="H19" s="54"/>
      <c r="I19" s="32"/>
      <c r="J19" s="59"/>
      <c r="K19" s="65" t="s">
        <v>56</v>
      </c>
      <c r="M19" s="66">
        <v>47500</v>
      </c>
    </row>
    <row r="20" spans="1:13" ht="15" customHeight="1" x14ac:dyDescent="0.25">
      <c r="A20" s="27"/>
      <c r="C20" s="51"/>
      <c r="D20" s="29"/>
      <c r="F20" s="17"/>
      <c r="G20" s="57" t="s">
        <v>57</v>
      </c>
      <c r="H20" s="54"/>
      <c r="I20" s="32"/>
      <c r="J20" s="28"/>
      <c r="K20" s="65" t="s">
        <v>58</v>
      </c>
      <c r="M20" s="66">
        <v>9000</v>
      </c>
    </row>
    <row r="21" spans="1:13" ht="15" customHeight="1" x14ac:dyDescent="0.25">
      <c r="A21" s="27"/>
      <c r="B21" s="59" t="s">
        <v>45</v>
      </c>
      <c r="C21" s="46" t="s">
        <v>46</v>
      </c>
      <c r="D21" s="29"/>
      <c r="E21" s="46" t="s">
        <v>47</v>
      </c>
      <c r="F21" s="53"/>
      <c r="H21" s="54"/>
      <c r="I21" s="32"/>
      <c r="J21" s="28"/>
      <c r="K21" s="67" t="s">
        <v>59</v>
      </c>
      <c r="M21" s="66">
        <v>50000</v>
      </c>
    </row>
    <row r="22" spans="1:13" ht="15" customHeight="1" x14ac:dyDescent="0.25">
      <c r="A22" s="27"/>
      <c r="B22" s="28"/>
      <c r="C22" s="46"/>
      <c r="E22" s="46" t="s">
        <v>49</v>
      </c>
      <c r="F22" s="60">
        <v>50000</v>
      </c>
      <c r="G22" s="61">
        <f>F21+F22</f>
        <v>50000</v>
      </c>
      <c r="H22" s="54">
        <f>0-50000</f>
        <v>-50000</v>
      </c>
      <c r="I22" s="32"/>
      <c r="J22" s="28"/>
      <c r="K22" s="67" t="s">
        <v>60</v>
      </c>
      <c r="M22" s="66">
        <v>8000</v>
      </c>
    </row>
    <row r="23" spans="1:13" ht="15" customHeight="1" x14ac:dyDescent="0.25">
      <c r="A23" s="27"/>
      <c r="B23" s="21" t="s">
        <v>61</v>
      </c>
      <c r="H23" s="54"/>
      <c r="I23" s="32"/>
      <c r="J23" s="68">
        <v>301</v>
      </c>
      <c r="K23" s="69" t="s">
        <v>62</v>
      </c>
      <c r="L23" s="69"/>
      <c r="M23" s="69">
        <v>900000</v>
      </c>
    </row>
    <row r="24" spans="1:13" ht="15" customHeight="1" x14ac:dyDescent="0.25">
      <c r="A24" s="27"/>
      <c r="C24" s="46" t="s">
        <v>63</v>
      </c>
      <c r="H24" s="54"/>
      <c r="I24" s="32"/>
      <c r="J24" s="68"/>
      <c r="K24" s="69" t="s">
        <v>64</v>
      </c>
      <c r="L24" s="69"/>
      <c r="M24" s="69">
        <v>10000</v>
      </c>
    </row>
    <row r="25" spans="1:13" ht="15" customHeight="1" x14ac:dyDescent="0.25">
      <c r="A25" s="27"/>
      <c r="C25" s="46" t="s">
        <v>65</v>
      </c>
      <c r="H25" s="54"/>
      <c r="I25" s="32"/>
      <c r="J25" s="68">
        <v>100</v>
      </c>
      <c r="K25" s="69" t="s">
        <v>66</v>
      </c>
      <c r="L25" s="69"/>
      <c r="M25" s="69">
        <v>72000</v>
      </c>
    </row>
    <row r="26" spans="1:13" ht="15" customHeight="1" x14ac:dyDescent="0.25">
      <c r="A26" s="27"/>
      <c r="B26" s="70">
        <v>44247</v>
      </c>
      <c r="C26" s="71" t="s">
        <v>67</v>
      </c>
      <c r="G26" s="46">
        <f>+M23</f>
        <v>900000</v>
      </c>
      <c r="H26" s="54"/>
      <c r="I26" s="32"/>
      <c r="J26" s="28"/>
      <c r="K26" s="69" t="s">
        <v>68</v>
      </c>
      <c r="L26" s="69"/>
      <c r="M26" s="69">
        <v>45000</v>
      </c>
    </row>
    <row r="27" spans="1:13" ht="15" customHeight="1" x14ac:dyDescent="0.25">
      <c r="A27" s="27"/>
      <c r="B27" s="72" t="s">
        <v>69</v>
      </c>
      <c r="C27" s="73" t="s">
        <v>70</v>
      </c>
      <c r="E27" s="46" t="s">
        <v>71</v>
      </c>
      <c r="G27" s="74">
        <f>ROUND(72000*301/100,0)</f>
        <v>216720</v>
      </c>
      <c r="H27" s="54">
        <f>G26-G27</f>
        <v>683280</v>
      </c>
      <c r="I27" s="32"/>
    </row>
    <row r="28" spans="1:13" ht="15" customHeight="1" x14ac:dyDescent="0.25">
      <c r="A28" s="27"/>
      <c r="B28" s="21" t="s">
        <v>72</v>
      </c>
      <c r="H28" s="54"/>
      <c r="I28" s="32"/>
    </row>
    <row r="29" spans="1:13" ht="15" customHeight="1" x14ac:dyDescent="0.25">
      <c r="A29" s="27"/>
      <c r="B29" s="75"/>
      <c r="C29" s="51" t="s">
        <v>73</v>
      </c>
      <c r="D29" s="28"/>
      <c r="E29" s="28"/>
      <c r="F29" s="46"/>
      <c r="G29" s="76">
        <f>+L29</f>
        <v>26000</v>
      </c>
      <c r="H29" s="54"/>
      <c r="I29" s="32"/>
      <c r="K29" s="18" t="s">
        <v>73</v>
      </c>
      <c r="L29" s="18">
        <v>26000</v>
      </c>
    </row>
    <row r="30" spans="1:13" ht="15" customHeight="1" x14ac:dyDescent="0.25">
      <c r="A30" s="27"/>
      <c r="B30" s="75"/>
      <c r="C30" s="18" t="str">
        <f>+K34</f>
        <v>Intt on Income Tax Refund 01-12-20</v>
      </c>
      <c r="G30" s="77">
        <f>+L34</f>
        <v>3710</v>
      </c>
      <c r="H30" s="54"/>
      <c r="I30" s="32"/>
      <c r="K30" s="46" t="s">
        <v>74</v>
      </c>
      <c r="L30" s="18">
        <v>26000</v>
      </c>
      <c r="M30" s="78"/>
    </row>
    <row r="31" spans="1:13" ht="15" customHeight="1" x14ac:dyDescent="0.25">
      <c r="A31" s="27"/>
      <c r="B31" s="75"/>
      <c r="C31" s="46" t="s">
        <v>75</v>
      </c>
      <c r="D31" s="28"/>
      <c r="E31" s="28"/>
      <c r="F31" s="79">
        <f>+F42</f>
        <v>5530</v>
      </c>
      <c r="H31" s="54"/>
      <c r="I31" s="32"/>
      <c r="K31" s="80" t="str">
        <f>+K41</f>
        <v>Investment in NSCs (08-01-20)</v>
      </c>
      <c r="L31" s="18">
        <f>+L41</f>
        <v>70000</v>
      </c>
      <c r="M31" s="81">
        <v>7.9000000000000001E-2</v>
      </c>
    </row>
    <row r="32" spans="1:13" ht="15" customHeight="1" x14ac:dyDescent="0.25">
      <c r="A32" s="27"/>
      <c r="C32" s="46" t="s">
        <v>76</v>
      </c>
      <c r="D32" s="28"/>
      <c r="E32" s="28"/>
      <c r="F32" s="82">
        <f>+L30</f>
        <v>26000</v>
      </c>
      <c r="G32" s="25">
        <f>F31+F32</f>
        <v>31530</v>
      </c>
      <c r="H32" s="54"/>
      <c r="I32" s="32"/>
      <c r="K32" s="18" t="s">
        <v>77</v>
      </c>
      <c r="L32" s="18">
        <v>80000</v>
      </c>
      <c r="M32" s="78"/>
    </row>
    <row r="33" spans="1:14" ht="15" customHeight="1" x14ac:dyDescent="0.25">
      <c r="A33" s="27"/>
      <c r="B33" s="83">
        <v>43997</v>
      </c>
      <c r="C33" s="46" t="str">
        <f>+K33</f>
        <v xml:space="preserve">Dividend on Pref Shares </v>
      </c>
      <c r="G33" s="77">
        <f>+L33</f>
        <v>1250</v>
      </c>
      <c r="H33" s="54"/>
      <c r="I33" s="32"/>
      <c r="K33" s="18" t="s">
        <v>78</v>
      </c>
      <c r="L33" s="18">
        <v>1250</v>
      </c>
      <c r="M33" s="81" t="s">
        <v>79</v>
      </c>
      <c r="N33" s="84">
        <f>+B33</f>
        <v>43997</v>
      </c>
    </row>
    <row r="34" spans="1:14" ht="15" customHeight="1" x14ac:dyDescent="0.25">
      <c r="A34" s="27"/>
      <c r="C34" s="46" t="s">
        <v>80</v>
      </c>
      <c r="G34" s="85">
        <f>+L32</f>
        <v>80000</v>
      </c>
      <c r="H34" s="54"/>
      <c r="I34" s="32"/>
      <c r="K34" s="18" t="s">
        <v>81</v>
      </c>
      <c r="L34" s="18">
        <v>3710</v>
      </c>
    </row>
    <row r="35" spans="1:14" ht="15" customHeight="1" x14ac:dyDescent="0.25">
      <c r="A35" s="27"/>
      <c r="B35" s="75"/>
      <c r="H35" s="54">
        <f>SUM(G29:G34)</f>
        <v>142490</v>
      </c>
      <c r="I35" s="32"/>
      <c r="K35" s="86" t="s">
        <v>82</v>
      </c>
      <c r="L35" s="86">
        <v>80000</v>
      </c>
    </row>
    <row r="36" spans="1:14" ht="15" customHeight="1" x14ac:dyDescent="0.25">
      <c r="A36" s="27"/>
      <c r="B36" s="75"/>
      <c r="H36" s="54"/>
      <c r="I36" s="87"/>
    </row>
    <row r="37" spans="1:14" ht="15" customHeight="1" x14ac:dyDescent="0.25">
      <c r="A37" s="27"/>
      <c r="B37" s="21" t="s">
        <v>83</v>
      </c>
      <c r="E37" s="17"/>
      <c r="F37" s="17"/>
      <c r="G37" s="31"/>
      <c r="H37" s="88">
        <f>SUM(H4:H36)</f>
        <v>6250870</v>
      </c>
      <c r="I37" s="89"/>
    </row>
    <row r="38" spans="1:14" ht="15" customHeight="1" x14ac:dyDescent="0.25">
      <c r="A38" s="27"/>
      <c r="B38" s="90" t="s">
        <v>84</v>
      </c>
      <c r="H38" s="54"/>
      <c r="I38" s="32"/>
      <c r="K38" s="80" t="s">
        <v>85</v>
      </c>
      <c r="L38" s="80">
        <v>80000</v>
      </c>
    </row>
    <row r="39" spans="1:14" ht="15" customHeight="1" x14ac:dyDescent="0.25">
      <c r="A39" s="27"/>
      <c r="B39" s="91"/>
      <c r="C39" s="47" t="s">
        <v>86</v>
      </c>
      <c r="D39" s="18" t="str">
        <f>+K38</f>
        <v>Recognised Prov Fund</v>
      </c>
      <c r="F39" s="18">
        <f>+L38</f>
        <v>80000</v>
      </c>
      <c r="H39" s="54"/>
      <c r="I39" s="32"/>
      <c r="K39" s="80" t="s">
        <v>87</v>
      </c>
      <c r="L39" s="80">
        <v>46000</v>
      </c>
    </row>
    <row r="40" spans="1:14" ht="15" customHeight="1" x14ac:dyDescent="0.25">
      <c r="A40" s="27"/>
      <c r="B40" s="91"/>
      <c r="C40" s="92"/>
      <c r="D40" s="18" t="str">
        <f>+K39</f>
        <v>Public Prov Fund</v>
      </c>
      <c r="F40" s="18">
        <f>+L39</f>
        <v>46000</v>
      </c>
      <c r="H40" s="54"/>
      <c r="I40" s="32"/>
      <c r="K40" s="80" t="s">
        <v>88</v>
      </c>
      <c r="L40" s="80">
        <v>70000</v>
      </c>
    </row>
    <row r="41" spans="1:14" ht="15" customHeight="1" x14ac:dyDescent="0.25">
      <c r="A41" s="27"/>
      <c r="B41" s="91"/>
      <c r="D41" s="18" t="s">
        <v>89</v>
      </c>
      <c r="F41" s="18">
        <f>+L42</f>
        <v>10000</v>
      </c>
      <c r="H41" s="54"/>
      <c r="I41" s="32"/>
      <c r="K41" s="80" t="s">
        <v>90</v>
      </c>
      <c r="L41" s="18">
        <v>70000</v>
      </c>
    </row>
    <row r="42" spans="1:14" ht="15" customHeight="1" x14ac:dyDescent="0.25">
      <c r="A42" s="27"/>
      <c r="B42" s="91"/>
      <c r="D42" s="18" t="s">
        <v>91</v>
      </c>
      <c r="F42" s="18">
        <f>70000*0.079</f>
        <v>5530</v>
      </c>
      <c r="H42" s="54"/>
      <c r="I42" s="32"/>
      <c r="K42" s="80" t="s">
        <v>92</v>
      </c>
      <c r="L42" s="18">
        <v>10000</v>
      </c>
      <c r="M42" s="80"/>
    </row>
    <row r="43" spans="1:14" ht="15" customHeight="1" x14ac:dyDescent="0.25">
      <c r="A43" s="27"/>
      <c r="B43" s="91"/>
      <c r="D43" s="93" t="s">
        <v>93</v>
      </c>
      <c r="F43" s="94"/>
      <c r="G43" s="18">
        <f>SUM(F39:F42)</f>
        <v>141530</v>
      </c>
      <c r="H43" s="54"/>
      <c r="I43" s="32"/>
    </row>
    <row r="44" spans="1:14" ht="15" customHeight="1" x14ac:dyDescent="0.25">
      <c r="A44" s="27"/>
      <c r="B44" s="91"/>
      <c r="C44" s="47" t="s">
        <v>94</v>
      </c>
      <c r="D44" s="46"/>
      <c r="F44" s="95">
        <v>20000</v>
      </c>
      <c r="G44" s="53">
        <f>150000-G43</f>
        <v>8470</v>
      </c>
      <c r="H44" s="54"/>
      <c r="I44" s="32"/>
      <c r="L44" s="80"/>
    </row>
    <row r="45" spans="1:14" ht="15" customHeight="1" x14ac:dyDescent="0.25">
      <c r="A45" s="27"/>
      <c r="B45" s="91"/>
      <c r="C45" s="47" t="s">
        <v>95</v>
      </c>
      <c r="F45" s="96"/>
      <c r="G45" s="76">
        <v>50000</v>
      </c>
      <c r="H45" s="54"/>
      <c r="I45" s="32"/>
      <c r="K45" s="93"/>
      <c r="M45" s="97"/>
    </row>
    <row r="46" spans="1:14" ht="15" customHeight="1" x14ac:dyDescent="0.25">
      <c r="A46" s="98">
        <f>+I2</f>
        <v>0</v>
      </c>
      <c r="C46" s="47" t="s">
        <v>96</v>
      </c>
      <c r="D46" s="46" t="s">
        <v>97</v>
      </c>
      <c r="E46" s="17"/>
      <c r="F46" s="17"/>
      <c r="G46" s="56">
        <v>10000</v>
      </c>
      <c r="H46" s="54">
        <f>SUM(G39:G46)</f>
        <v>210000</v>
      </c>
      <c r="I46" s="32"/>
      <c r="K46" s="99"/>
    </row>
    <row r="47" spans="1:14" ht="15" customHeight="1" thickBot="1" x14ac:dyDescent="0.3">
      <c r="A47" s="27"/>
      <c r="B47" s="100" t="s">
        <v>98</v>
      </c>
      <c r="E47" s="101">
        <f>IF((H37-H46)&lt;0,0,(H37-H46))</f>
        <v>6040870</v>
      </c>
      <c r="F47" s="102" t="s">
        <v>99</v>
      </c>
      <c r="G47" s="103"/>
      <c r="H47" s="104">
        <f>ROUND((E47/10),0)*10</f>
        <v>6040870</v>
      </c>
      <c r="I47" s="105"/>
      <c r="K47" s="96" t="s">
        <v>100</v>
      </c>
    </row>
    <row r="48" spans="1:14" ht="15" customHeight="1" thickTop="1" x14ac:dyDescent="0.25">
      <c r="A48" s="27"/>
      <c r="B48" s="96" t="s">
        <v>101</v>
      </c>
      <c r="E48" s="106" t="s">
        <v>102</v>
      </c>
      <c r="F48" s="107" t="s">
        <v>103</v>
      </c>
      <c r="G48" s="106" t="s">
        <v>104</v>
      </c>
      <c r="H48" s="108"/>
      <c r="I48" s="109"/>
      <c r="K48" s="110" t="s">
        <v>105</v>
      </c>
      <c r="L48" s="111">
        <v>0.05</v>
      </c>
      <c r="M48" s="18">
        <f>250000*5%</f>
        <v>12500</v>
      </c>
    </row>
    <row r="49" spans="1:13" ht="15" customHeight="1" x14ac:dyDescent="0.25">
      <c r="A49" s="27"/>
      <c r="B49" s="112"/>
      <c r="C49" s="46" t="s">
        <v>106</v>
      </c>
      <c r="E49" s="25">
        <f>H47-E50</f>
        <v>5357590</v>
      </c>
      <c r="F49" s="113"/>
      <c r="G49" s="18">
        <f>IF(+I2="Sr",ROUND(IF(E49&gt;1000000,(((E49-1000000)*0.3)+110000),IF(E49&gt;500000,(((E49-500000)*0.2)+10000),IF(E49&gt;300000,((E49-300000)*0.05),0))),0),ROUND(IF(E49&gt;1000000,(((E49-1000000)*0.3)+112500),IF(E49&gt;500000,(((E49-500000)*0.2)+12500),IF(E49&gt;250000,((E49-250000)*0.05),0))),0))</f>
        <v>1419777</v>
      </c>
      <c r="H49" s="108"/>
      <c r="I49" s="109"/>
      <c r="K49" s="110" t="s">
        <v>107</v>
      </c>
      <c r="L49" s="111">
        <v>0.2</v>
      </c>
      <c r="M49" s="18">
        <f>500000*20%</f>
        <v>100000</v>
      </c>
    </row>
    <row r="50" spans="1:13" ht="15" customHeight="1" x14ac:dyDescent="0.25">
      <c r="A50" s="27"/>
      <c r="B50" s="98" t="s">
        <v>108</v>
      </c>
      <c r="C50" s="46" t="s">
        <v>109</v>
      </c>
      <c r="E50" s="77">
        <f>+H27</f>
        <v>683280</v>
      </c>
      <c r="F50" s="114">
        <v>0.2</v>
      </c>
      <c r="G50" s="56">
        <f>ROUND(E50*F50,0)</f>
        <v>136656</v>
      </c>
      <c r="H50" s="115"/>
      <c r="I50" s="116"/>
      <c r="K50" s="110" t="s">
        <v>110</v>
      </c>
      <c r="L50" s="111">
        <v>0.3</v>
      </c>
      <c r="M50" s="18">
        <f>ROUND((E49-1000000)*30%,0)</f>
        <v>1307277</v>
      </c>
    </row>
    <row r="51" spans="1:13" ht="15" customHeight="1" thickBot="1" x14ac:dyDescent="0.3">
      <c r="A51" s="27"/>
      <c r="D51" s="113"/>
      <c r="E51" s="17"/>
      <c r="G51" s="36">
        <f>G49+G50</f>
        <v>1556433</v>
      </c>
      <c r="H51" s="117"/>
      <c r="I51" s="118"/>
      <c r="M51" s="119">
        <f>SUM(M48:M50)</f>
        <v>1419777</v>
      </c>
    </row>
    <row r="52" spans="1:13" ht="15" customHeight="1" thickTop="1" x14ac:dyDescent="0.25">
      <c r="A52" s="27"/>
      <c r="B52" s="46" t="s">
        <v>111</v>
      </c>
      <c r="C52" s="46" t="s">
        <v>112</v>
      </c>
      <c r="D52" s="113"/>
      <c r="E52" s="17"/>
      <c r="G52" s="120">
        <f>IF(H47&gt;350000,0,IF(G51&gt;2500,2500,G51))</f>
        <v>0</v>
      </c>
      <c r="H52" s="121">
        <f>G51-G52</f>
        <v>1556433</v>
      </c>
      <c r="I52" s="122"/>
    </row>
    <row r="53" spans="1:13" ht="15" customHeight="1" x14ac:dyDescent="0.25">
      <c r="A53" s="27"/>
      <c r="B53" s="18" t="s">
        <v>113</v>
      </c>
      <c r="C53" s="46"/>
      <c r="D53" s="113"/>
      <c r="E53" s="17"/>
      <c r="G53" s="123">
        <v>0.1</v>
      </c>
      <c r="H53" s="124">
        <f>IF(H47&gt;10000000,H52*15%,IF(H47&gt;5000000,H52*10%,0))</f>
        <v>155643.30000000002</v>
      </c>
      <c r="I53" s="125"/>
      <c r="K53" s="126" t="s">
        <v>114</v>
      </c>
      <c r="L53" s="127" t="s">
        <v>115</v>
      </c>
    </row>
    <row r="54" spans="1:13" ht="15" customHeight="1" x14ac:dyDescent="0.25">
      <c r="A54" s="27"/>
      <c r="C54" s="46"/>
      <c r="D54" s="113"/>
      <c r="E54" s="17"/>
      <c r="G54" s="36"/>
      <c r="H54" s="121">
        <f>H52+H53</f>
        <v>1712076.3</v>
      </c>
      <c r="I54" s="122"/>
      <c r="K54" s="128" t="s">
        <v>116</v>
      </c>
      <c r="L54" s="129">
        <v>600000</v>
      </c>
      <c r="M54" s="130"/>
    </row>
    <row r="55" spans="1:13" ht="15" customHeight="1" x14ac:dyDescent="0.25">
      <c r="A55" s="27"/>
      <c r="B55" s="46" t="s">
        <v>117</v>
      </c>
      <c r="D55" s="113"/>
      <c r="E55" s="17"/>
      <c r="G55" s="123">
        <v>0.04</v>
      </c>
      <c r="H55" s="124">
        <f>ROUND((H54)*0.04,0)</f>
        <v>68483</v>
      </c>
      <c r="I55" s="125"/>
      <c r="K55" s="128" t="s">
        <v>118</v>
      </c>
      <c r="L55" s="129">
        <v>2400000</v>
      </c>
      <c r="M55" s="130"/>
    </row>
    <row r="56" spans="1:13" ht="15" customHeight="1" x14ac:dyDescent="0.25">
      <c r="A56" s="27"/>
      <c r="B56" s="96" t="s">
        <v>119</v>
      </c>
      <c r="D56" s="113"/>
      <c r="E56" s="102"/>
      <c r="G56" s="17"/>
      <c r="H56" s="117">
        <f>SUM(H54:H55)</f>
        <v>1780559.3</v>
      </c>
      <c r="I56" s="118"/>
      <c r="J56" s="131"/>
      <c r="K56" s="128" t="s">
        <v>120</v>
      </c>
      <c r="L56" s="129">
        <v>8510000</v>
      </c>
    </row>
    <row r="57" spans="1:13" ht="15" customHeight="1" x14ac:dyDescent="0.3">
      <c r="A57" s="27"/>
      <c r="B57" s="46" t="s">
        <v>121</v>
      </c>
      <c r="D57" s="113"/>
      <c r="E57" s="132" t="s">
        <v>122</v>
      </c>
      <c r="G57" s="133"/>
      <c r="H57" s="134">
        <f>+H88</f>
        <v>59816</v>
      </c>
      <c r="I57" s="118"/>
      <c r="J57" s="131"/>
      <c r="K57" s="128" t="s">
        <v>123</v>
      </c>
      <c r="L57" s="129">
        <v>84000</v>
      </c>
    </row>
    <row r="58" spans="1:13" ht="15" customHeight="1" x14ac:dyDescent="0.25">
      <c r="A58" s="135"/>
      <c r="B58" s="46" t="s">
        <v>124</v>
      </c>
      <c r="C58" s="17"/>
      <c r="D58" s="17"/>
      <c r="E58" s="17"/>
      <c r="G58" s="133" t="s">
        <v>125</v>
      </c>
      <c r="H58" s="136"/>
      <c r="I58" s="137"/>
      <c r="J58" s="131"/>
      <c r="L58" s="138" t="s">
        <v>126</v>
      </c>
      <c r="M58" s="139">
        <v>10000</v>
      </c>
    </row>
    <row r="59" spans="1:13" ht="15" customHeight="1" x14ac:dyDescent="0.25">
      <c r="A59" s="27"/>
      <c r="B59" s="96" t="s">
        <v>127</v>
      </c>
      <c r="C59" s="17"/>
      <c r="D59" s="17"/>
      <c r="E59" s="17"/>
      <c r="F59" s="17"/>
      <c r="G59" s="17"/>
      <c r="H59" s="54">
        <f>H56+H57+H58</f>
        <v>1840375.3</v>
      </c>
      <c r="I59" s="32"/>
      <c r="J59" s="46"/>
    </row>
    <row r="60" spans="1:13" ht="15" customHeight="1" x14ac:dyDescent="0.25">
      <c r="A60" s="27"/>
      <c r="B60" s="21" t="s">
        <v>128</v>
      </c>
      <c r="C60" s="17"/>
      <c r="D60" s="17"/>
      <c r="E60" s="17"/>
      <c r="F60" s="17"/>
      <c r="G60" s="17"/>
      <c r="H60" s="54"/>
      <c r="I60" s="32"/>
    </row>
    <row r="61" spans="1:13" ht="15" customHeight="1" x14ac:dyDescent="0.3">
      <c r="A61" s="27"/>
      <c r="B61" s="70">
        <v>44082</v>
      </c>
      <c r="C61" s="140" t="s">
        <v>129</v>
      </c>
      <c r="D61" s="140"/>
      <c r="E61" s="141"/>
      <c r="F61" s="141"/>
      <c r="G61" s="77">
        <v>41000</v>
      </c>
      <c r="H61" s="54"/>
      <c r="I61" s="32"/>
      <c r="K61" s="142" t="s">
        <v>130</v>
      </c>
    </row>
    <row r="62" spans="1:13" ht="15" customHeight="1" x14ac:dyDescent="0.3">
      <c r="A62" s="27"/>
      <c r="B62" s="70">
        <v>44381</v>
      </c>
      <c r="C62" s="143" t="s">
        <v>131</v>
      </c>
      <c r="D62" s="143"/>
      <c r="E62" s="143"/>
      <c r="F62" s="141"/>
      <c r="G62" s="77">
        <v>170000</v>
      </c>
      <c r="H62" s="54"/>
      <c r="I62" s="32"/>
      <c r="K62" s="18" t="s">
        <v>132</v>
      </c>
      <c r="L62" s="25">
        <f>+H10</f>
        <v>4164000</v>
      </c>
    </row>
    <row r="63" spans="1:13" ht="15" customHeight="1" x14ac:dyDescent="0.3">
      <c r="A63" s="27"/>
      <c r="B63" s="144"/>
      <c r="C63" s="140" t="s">
        <v>133</v>
      </c>
      <c r="D63" s="140"/>
      <c r="E63" s="141" t="s">
        <v>134</v>
      </c>
      <c r="F63" s="145"/>
      <c r="G63" s="77">
        <v>1042000</v>
      </c>
      <c r="H63" s="54"/>
      <c r="I63" s="32"/>
      <c r="K63" s="28" t="s">
        <v>135</v>
      </c>
      <c r="L63" s="94">
        <f>G43+G44+G45</f>
        <v>200000</v>
      </c>
      <c r="M63" s="25">
        <f>L62-L63</f>
        <v>3964000</v>
      </c>
    </row>
    <row r="64" spans="1:13" ht="15" customHeight="1" x14ac:dyDescent="0.3">
      <c r="A64" s="27"/>
      <c r="B64" s="144"/>
      <c r="C64" s="140" t="s">
        <v>136</v>
      </c>
      <c r="D64" s="140"/>
      <c r="E64" s="141" t="s">
        <v>137</v>
      </c>
      <c r="F64" s="145"/>
      <c r="G64" s="77">
        <v>200000</v>
      </c>
      <c r="H64" s="54"/>
      <c r="I64" s="32"/>
      <c r="K64" s="146" t="s">
        <v>138</v>
      </c>
      <c r="M64" s="18">
        <f>112500+(M63-1000000)*0.3</f>
        <v>1001700</v>
      </c>
    </row>
    <row r="65" spans="1:14" ht="15" customHeight="1" x14ac:dyDescent="0.25">
      <c r="A65" s="27"/>
      <c r="H65" s="54">
        <f>SUM(G61:G64)</f>
        <v>1453000</v>
      </c>
      <c r="I65" s="32"/>
      <c r="K65" s="146" t="s">
        <v>139</v>
      </c>
      <c r="L65" s="111"/>
    </row>
    <row r="66" spans="1:14" ht="15" customHeight="1" thickBot="1" x14ac:dyDescent="0.3">
      <c r="A66" s="147"/>
      <c r="B66" s="148" t="str">
        <f>IF(H66=0,"TAX  PAYABLE / REFUND ",IF(H66&lt;0,"REFUND","TAX  PAYABLE including Interest"))</f>
        <v>TAX  PAYABLE including Interest</v>
      </c>
      <c r="C66" s="149"/>
      <c r="D66" s="150"/>
      <c r="E66" s="150"/>
      <c r="F66" s="151" t="s">
        <v>140</v>
      </c>
      <c r="G66" s="152"/>
      <c r="H66" s="153">
        <f>ROUND((H59-H65)/10,0)*10</f>
        <v>387380</v>
      </c>
      <c r="I66" s="154"/>
      <c r="K66" s="146" t="s">
        <v>141</v>
      </c>
      <c r="L66" s="111">
        <v>0.04</v>
      </c>
      <c r="M66" s="18">
        <f>ROUND((M65+M64)*0.04,0)</f>
        <v>40068</v>
      </c>
    </row>
    <row r="67" spans="1:14" ht="15" customHeight="1" thickBot="1" x14ac:dyDescent="0.3">
      <c r="A67" s="155" t="s">
        <v>142</v>
      </c>
      <c r="B67" s="156"/>
      <c r="C67" s="156"/>
      <c r="D67" s="156"/>
      <c r="E67" s="156"/>
      <c r="F67" s="156"/>
      <c r="G67" s="156"/>
      <c r="H67" s="156"/>
      <c r="I67" s="157"/>
      <c r="M67" s="158">
        <f>SUM(M64:M66)</f>
        <v>1041768</v>
      </c>
    </row>
    <row r="68" spans="1:14" ht="15" customHeight="1" thickTop="1" thickBot="1" x14ac:dyDescent="0.3">
      <c r="A68" s="159">
        <v>44480</v>
      </c>
      <c r="B68" s="160"/>
      <c r="C68" s="161" t="s">
        <v>143</v>
      </c>
      <c r="D68" s="162"/>
      <c r="E68" s="163" t="s">
        <v>144</v>
      </c>
      <c r="F68" s="164" t="s">
        <v>145</v>
      </c>
      <c r="G68" s="164"/>
      <c r="H68" s="164"/>
      <c r="I68" s="165"/>
    </row>
    <row r="69" spans="1:14" ht="15" customHeight="1" x14ac:dyDescent="0.25">
      <c r="A69" s="166"/>
      <c r="B69" s="167"/>
      <c r="C69" s="167"/>
      <c r="D69" s="167"/>
      <c r="E69" s="167"/>
      <c r="F69" s="167"/>
      <c r="G69" s="167"/>
      <c r="H69" s="167"/>
      <c r="I69" s="167"/>
      <c r="K69" s="139"/>
      <c r="L69" s="168"/>
    </row>
    <row r="70" spans="1:14" ht="15" customHeight="1" x14ac:dyDescent="0.25">
      <c r="A70" s="166"/>
      <c r="B70" s="18" t="s">
        <v>146</v>
      </c>
      <c r="C70" s="167"/>
      <c r="D70" s="167" t="s">
        <v>147</v>
      </c>
      <c r="E70" s="167" t="s">
        <v>148</v>
      </c>
      <c r="F70" s="46"/>
      <c r="G70" s="167"/>
      <c r="H70" s="169" t="s">
        <v>149</v>
      </c>
      <c r="I70" s="167"/>
      <c r="K70" s="139"/>
      <c r="L70" s="168"/>
    </row>
    <row r="71" spans="1:14" ht="15" customHeight="1" x14ac:dyDescent="0.25">
      <c r="A71" s="170"/>
      <c r="B71" s="86" t="s">
        <v>150</v>
      </c>
      <c r="C71" s="171"/>
      <c r="D71" s="171" t="s">
        <v>151</v>
      </c>
      <c r="E71" s="171" t="s">
        <v>152</v>
      </c>
      <c r="F71" s="171" t="s">
        <v>153</v>
      </c>
      <c r="G71" s="171" t="s">
        <v>154</v>
      </c>
      <c r="H71" s="172" t="s">
        <v>155</v>
      </c>
      <c r="I71" s="167"/>
      <c r="L71" s="173"/>
      <c r="M71" s="173"/>
    </row>
    <row r="72" spans="1:14" ht="15" customHeight="1" x14ac:dyDescent="0.25">
      <c r="A72" s="166"/>
      <c r="B72" s="18" t="s">
        <v>26</v>
      </c>
      <c r="C72" s="167"/>
      <c r="D72" s="167" t="s">
        <v>156</v>
      </c>
      <c r="E72" s="167" t="s">
        <v>152</v>
      </c>
      <c r="F72" s="167" t="s">
        <v>153</v>
      </c>
      <c r="G72" s="167" t="s">
        <v>154</v>
      </c>
      <c r="H72" s="169" t="s">
        <v>155</v>
      </c>
      <c r="I72" s="167"/>
      <c r="L72" s="173"/>
      <c r="M72" s="173"/>
    </row>
    <row r="73" spans="1:14" ht="15" customHeight="1" x14ac:dyDescent="0.25">
      <c r="L73" s="173"/>
      <c r="M73" s="173"/>
    </row>
    <row r="74" spans="1:14" ht="15" customHeight="1" x14ac:dyDescent="0.25">
      <c r="A74" s="166"/>
      <c r="B74" s="174">
        <v>44472</v>
      </c>
      <c r="C74" s="168" t="s">
        <v>157</v>
      </c>
      <c r="D74" s="167"/>
      <c r="E74" s="78"/>
      <c r="F74" s="175" t="s">
        <v>158</v>
      </c>
      <c r="G74" s="176"/>
      <c r="H74" s="176"/>
      <c r="I74" s="167"/>
      <c r="J74" s="46"/>
      <c r="L74" s="173"/>
      <c r="M74" s="173"/>
    </row>
    <row r="75" spans="1:14" ht="15" customHeight="1" x14ac:dyDescent="0.25">
      <c r="A75" s="166"/>
      <c r="B75" s="48"/>
      <c r="C75" s="177"/>
      <c r="D75" s="167"/>
      <c r="F75" s="178" t="s">
        <v>159</v>
      </c>
      <c r="G75" s="178"/>
      <c r="H75" s="179">
        <f>+G7-M7</f>
        <v>4229600</v>
      </c>
      <c r="I75" s="167"/>
      <c r="J75" s="46"/>
      <c r="L75" s="173"/>
      <c r="M75" s="173"/>
    </row>
    <row r="76" spans="1:14" ht="15" customHeight="1" x14ac:dyDescent="0.25">
      <c r="B76" s="180"/>
      <c r="C76" s="181"/>
      <c r="F76" s="63" t="s">
        <v>160</v>
      </c>
      <c r="G76" s="63"/>
      <c r="H76" s="25">
        <f>+H16+H22</f>
        <v>1261100</v>
      </c>
      <c r="J76" s="46"/>
      <c r="L76" s="173"/>
      <c r="M76" s="173"/>
    </row>
    <row r="77" spans="1:14" ht="15" customHeight="1" x14ac:dyDescent="0.25">
      <c r="B77" s="180"/>
      <c r="C77" s="181"/>
      <c r="F77" s="63" t="s">
        <v>161</v>
      </c>
      <c r="G77" s="63"/>
      <c r="H77" s="25">
        <f>+H27</f>
        <v>683280</v>
      </c>
      <c r="J77" s="46"/>
      <c r="L77" s="173"/>
      <c r="M77" s="173"/>
    </row>
    <row r="78" spans="1:14" ht="15" customHeight="1" x14ac:dyDescent="0.25">
      <c r="B78" s="182"/>
      <c r="C78" s="182"/>
      <c r="F78" s="94" t="s">
        <v>162</v>
      </c>
      <c r="G78" s="94"/>
      <c r="H78" s="183">
        <f>+H35</f>
        <v>142490</v>
      </c>
      <c r="J78" s="46"/>
      <c r="L78" s="173"/>
      <c r="M78" s="173"/>
    </row>
    <row r="79" spans="1:14" ht="15" customHeight="1" thickBot="1" x14ac:dyDescent="0.3">
      <c r="A79" s="166"/>
      <c r="B79" s="166"/>
      <c r="C79" s="173"/>
      <c r="D79" s="167"/>
      <c r="F79" s="184"/>
      <c r="G79" s="185" t="s">
        <v>163</v>
      </c>
      <c r="H79" s="186">
        <f>SUM(H75:H78)</f>
        <v>6316470</v>
      </c>
      <c r="I79" s="167"/>
      <c r="J79" s="187"/>
      <c r="K79" s="168"/>
      <c r="L79" s="188"/>
      <c r="M79" s="139"/>
      <c r="N79" s="139"/>
    </row>
    <row r="80" spans="1:14" ht="15" customHeight="1" thickTop="1" x14ac:dyDescent="0.25">
      <c r="A80" s="166"/>
      <c r="B80" s="168"/>
      <c r="C80" s="189"/>
      <c r="D80" s="167"/>
      <c r="I80" s="167"/>
      <c r="J80" s="187"/>
      <c r="K80" s="190" t="s">
        <v>158</v>
      </c>
      <c r="L80" s="191"/>
      <c r="M80" s="139"/>
      <c r="N80" s="139"/>
    </row>
    <row r="81" spans="1:14" ht="15" customHeight="1" x14ac:dyDescent="0.25">
      <c r="A81" s="166"/>
      <c r="B81" s="48"/>
      <c r="C81" s="177"/>
      <c r="D81" s="167"/>
      <c r="G81" s="29" t="s">
        <v>138</v>
      </c>
      <c r="H81" s="192">
        <f>ROUND(IF(H79&gt;1500000,(H79-1500000)*30%+187500,IF(H79&gt;1250000,(H79-1250000)*25%+125000,IF(H79&gt;1000000,(H79-1000000)*20%+75000,IF(H79&gt;750000,(H79-750000)*15%+37500,IF(H79&gt;500000,(H79-500000)*10%+12500, IF(H79&gt;250000,(H79-250000)*5%,0)))))),0)-(H77*10%)</f>
        <v>1564113</v>
      </c>
      <c r="I81" s="167"/>
      <c r="J81" s="187"/>
      <c r="K81" s="193" t="s">
        <v>164</v>
      </c>
      <c r="L81" s="194" t="s">
        <v>54</v>
      </c>
      <c r="M81" s="139"/>
      <c r="N81" s="139"/>
    </row>
    <row r="82" spans="1:14" ht="15" customHeight="1" x14ac:dyDescent="0.25">
      <c r="B82" s="180"/>
      <c r="C82" s="181"/>
      <c r="G82" s="195" t="s">
        <v>165</v>
      </c>
      <c r="H82" s="94">
        <f>ROUND(H81*0.1,0)</f>
        <v>156411</v>
      </c>
      <c r="J82" s="187"/>
      <c r="K82" s="193" t="s">
        <v>166</v>
      </c>
      <c r="L82" s="196">
        <v>0.05</v>
      </c>
    </row>
    <row r="83" spans="1:14" ht="15" customHeight="1" x14ac:dyDescent="0.25">
      <c r="B83" s="182"/>
      <c r="C83" s="182"/>
      <c r="H83" s="18">
        <f>H81+H82</f>
        <v>1720524</v>
      </c>
      <c r="J83" s="187"/>
      <c r="K83" s="193" t="s">
        <v>167</v>
      </c>
      <c r="L83" s="196">
        <v>0.1</v>
      </c>
    </row>
    <row r="84" spans="1:14" ht="15" customHeight="1" x14ac:dyDescent="0.25">
      <c r="B84" s="182"/>
      <c r="C84" s="197"/>
      <c r="G84" s="29" t="s">
        <v>141</v>
      </c>
      <c r="H84" s="18">
        <f>ROUND(H83*4%,0)</f>
        <v>68821</v>
      </c>
      <c r="J84" s="187"/>
      <c r="K84" s="193" t="s">
        <v>168</v>
      </c>
      <c r="L84" s="196">
        <v>0.15</v>
      </c>
    </row>
    <row r="85" spans="1:14" ht="15" customHeight="1" thickBot="1" x14ac:dyDescent="0.3">
      <c r="B85" s="182"/>
      <c r="C85" s="197"/>
      <c r="F85" s="184"/>
      <c r="G85" s="198" t="s">
        <v>169</v>
      </c>
      <c r="H85" s="199">
        <f>SUM(H83:H84)</f>
        <v>1789345</v>
      </c>
      <c r="J85" s="187"/>
      <c r="K85" s="193" t="s">
        <v>170</v>
      </c>
      <c r="L85" s="196">
        <v>0.2</v>
      </c>
    </row>
    <row r="86" spans="1:14" ht="15" customHeight="1" thickTop="1" x14ac:dyDescent="0.25">
      <c r="B86" s="182"/>
      <c r="C86" s="197"/>
      <c r="J86" s="187"/>
      <c r="K86" s="193" t="s">
        <v>171</v>
      </c>
      <c r="L86" s="196">
        <v>0.25</v>
      </c>
    </row>
    <row r="87" spans="1:14" ht="15" customHeight="1" thickBot="1" x14ac:dyDescent="0.3">
      <c r="B87" s="182"/>
      <c r="C87" s="197"/>
      <c r="J87" s="187"/>
      <c r="K87" s="193" t="s">
        <v>172</v>
      </c>
      <c r="L87" s="196">
        <v>0.3</v>
      </c>
    </row>
    <row r="88" spans="1:14" ht="15" customHeight="1" x14ac:dyDescent="0.25">
      <c r="B88" s="200" t="s">
        <v>173</v>
      </c>
      <c r="C88" s="201"/>
      <c r="D88" s="201"/>
      <c r="E88" s="201"/>
      <c r="F88" s="201"/>
      <c r="G88" s="202" t="s">
        <v>174</v>
      </c>
      <c r="H88" s="203">
        <f>H100+H112+H122</f>
        <v>59816</v>
      </c>
      <c r="J88" s="187"/>
      <c r="K88" s="204" t="s">
        <v>175</v>
      </c>
      <c r="L88" s="205"/>
      <c r="M88" s="206" t="s">
        <v>176</v>
      </c>
      <c r="N88" s="178" t="s">
        <v>177</v>
      </c>
    </row>
    <row r="89" spans="1:14" ht="15" customHeight="1" x14ac:dyDescent="0.25">
      <c r="B89" s="207" t="s">
        <v>178</v>
      </c>
      <c r="C89" s="208"/>
      <c r="D89" s="208"/>
      <c r="E89" s="208"/>
      <c r="F89" s="208"/>
      <c r="G89" s="209"/>
      <c r="H89" s="210"/>
      <c r="J89" s="187"/>
      <c r="K89" s="211" t="s">
        <v>179</v>
      </c>
      <c r="L89" s="212"/>
      <c r="M89" s="206" t="s">
        <v>180</v>
      </c>
      <c r="N89" s="213" t="s">
        <v>181</v>
      </c>
    </row>
    <row r="90" spans="1:14" ht="15" customHeight="1" x14ac:dyDescent="0.25">
      <c r="B90" s="214" t="s">
        <v>182</v>
      </c>
      <c r="C90" s="208"/>
      <c r="D90" s="208"/>
      <c r="E90" s="18">
        <f>ROUND(G90-(683280*22.88%),0)</f>
        <v>1624225</v>
      </c>
      <c r="G90" s="215">
        <f>+H56</f>
        <v>1780559.3</v>
      </c>
      <c r="I90" s="208"/>
      <c r="J90" s="187"/>
      <c r="K90" s="216" t="s">
        <v>183</v>
      </c>
      <c r="L90" s="217"/>
      <c r="M90" s="218" t="s">
        <v>184</v>
      </c>
      <c r="N90" s="213" t="s">
        <v>185</v>
      </c>
    </row>
    <row r="91" spans="1:14" ht="15" customHeight="1" thickBot="1" x14ac:dyDescent="0.3">
      <c r="B91" s="214" t="s">
        <v>186</v>
      </c>
      <c r="C91" s="208"/>
      <c r="D91" s="208"/>
      <c r="E91" s="25">
        <f>+G91</f>
        <v>-1242000</v>
      </c>
      <c r="G91" s="215">
        <f>(+G63+G64)*-1</f>
        <v>-1242000</v>
      </c>
      <c r="I91" s="208"/>
      <c r="J91" s="219"/>
      <c r="K91" s="220" t="s">
        <v>187</v>
      </c>
      <c r="L91" s="221"/>
      <c r="M91" s="218" t="s">
        <v>188</v>
      </c>
      <c r="N91" s="213" t="s">
        <v>189</v>
      </c>
    </row>
    <row r="92" spans="1:14" ht="15" customHeight="1" thickBot="1" x14ac:dyDescent="0.3">
      <c r="B92" s="214" t="s">
        <v>190</v>
      </c>
      <c r="C92" s="208"/>
      <c r="D92" s="208"/>
      <c r="E92" s="184">
        <f>SUM(E90:E91)</f>
        <v>382225</v>
      </c>
      <c r="G92" s="222">
        <f>G90+G91</f>
        <v>538559.30000000005</v>
      </c>
      <c r="I92" s="208"/>
      <c r="J92" s="219"/>
    </row>
    <row r="93" spans="1:14" ht="18" customHeight="1" thickTop="1" x14ac:dyDescent="0.25">
      <c r="C93" s="208"/>
      <c r="D93" s="208"/>
      <c r="E93" s="18">
        <f>+E92</f>
        <v>382225</v>
      </c>
      <c r="G93" s="223">
        <f>IF(G92&gt;10000,G92,0)</f>
        <v>538559.30000000005</v>
      </c>
      <c r="J93" s="224"/>
    </row>
    <row r="94" spans="1:14" ht="25.5" customHeight="1" x14ac:dyDescent="0.25">
      <c r="B94" s="225" t="s">
        <v>191</v>
      </c>
      <c r="C94" s="226" t="s">
        <v>192</v>
      </c>
      <c r="D94" s="226" t="s">
        <v>193</v>
      </c>
      <c r="E94" s="226" t="s">
        <v>194</v>
      </c>
      <c r="F94" s="227" t="s">
        <v>195</v>
      </c>
      <c r="G94" s="228" t="s">
        <v>196</v>
      </c>
      <c r="H94" s="226" t="s">
        <v>197</v>
      </c>
      <c r="J94" s="224"/>
    </row>
    <row r="95" spans="1:14" ht="15" customHeight="1" x14ac:dyDescent="0.25">
      <c r="A95" s="229">
        <v>1</v>
      </c>
      <c r="B95" s="230"/>
      <c r="C95" s="231"/>
      <c r="D95" s="230">
        <v>43997</v>
      </c>
      <c r="E95" s="215">
        <f>E93*0.15</f>
        <v>57333.75</v>
      </c>
      <c r="F95" s="215">
        <f>ROUNDDOWN(+E95,-2)</f>
        <v>57300</v>
      </c>
      <c r="G95" s="215">
        <f>(F95-C95)</f>
        <v>57300</v>
      </c>
      <c r="H95" s="232">
        <f>IF(G95&gt;0,G95*0.12/12*3,0)</f>
        <v>1719</v>
      </c>
      <c r="I95" s="233" t="s">
        <v>198</v>
      </c>
      <c r="J95" s="233"/>
      <c r="K95" s="234" t="s">
        <v>199</v>
      </c>
    </row>
    <row r="96" spans="1:14" ht="15" customHeight="1" x14ac:dyDescent="0.25">
      <c r="A96" s="229">
        <v>2</v>
      </c>
      <c r="B96" s="230">
        <v>44082</v>
      </c>
      <c r="C96" s="231">
        <f>+G61</f>
        <v>41000</v>
      </c>
      <c r="D96" s="230">
        <v>44089</v>
      </c>
      <c r="E96" s="215">
        <f>E93*0.45</f>
        <v>172001.25</v>
      </c>
      <c r="F96" s="215">
        <f>ROUNDDOWN(+E96,-2)</f>
        <v>172000</v>
      </c>
      <c r="G96" s="215">
        <f>(F96-C96-C95)</f>
        <v>131000</v>
      </c>
      <c r="H96" s="232">
        <f>IF(G96&gt;0,G96*0.12/12*3,0)</f>
        <v>3930</v>
      </c>
      <c r="J96" s="235" t="s">
        <v>200</v>
      </c>
      <c r="K96" s="236">
        <f>+H100</f>
        <v>17992</v>
      </c>
    </row>
    <row r="97" spans="1:11" ht="15" customHeight="1" x14ac:dyDescent="0.25">
      <c r="A97" s="229">
        <v>3</v>
      </c>
      <c r="B97" s="230"/>
      <c r="C97" s="231"/>
      <c r="D97" s="230">
        <v>44180</v>
      </c>
      <c r="E97" s="215">
        <f>E93*0.75</f>
        <v>286668.75</v>
      </c>
      <c r="F97" s="215">
        <f>ROUNDDOWN(+E97,-2)</f>
        <v>286600</v>
      </c>
      <c r="G97" s="215">
        <f>(F97-(C95+C96+C97))</f>
        <v>245600</v>
      </c>
      <c r="H97" s="232">
        <f>IF(G97&gt;0,G97*0.12/12*3,0)</f>
        <v>7368</v>
      </c>
      <c r="J97" s="235" t="s">
        <v>201</v>
      </c>
      <c r="K97" s="236">
        <f>+K96</f>
        <v>17992</v>
      </c>
    </row>
    <row r="98" spans="1:11" ht="15" customHeight="1" x14ac:dyDescent="0.25">
      <c r="A98" s="229">
        <v>4</v>
      </c>
      <c r="B98" s="230"/>
      <c r="C98" s="231"/>
      <c r="D98" s="230">
        <v>44270</v>
      </c>
      <c r="E98" s="215">
        <f>G93*1</f>
        <v>538559.30000000005</v>
      </c>
      <c r="F98" s="215">
        <f>ROUNDDOWN(+E98,-2)</f>
        <v>538500</v>
      </c>
      <c r="G98" s="215">
        <f>(F98-(C95+C96+C97+C98))</f>
        <v>497500</v>
      </c>
      <c r="H98" s="232">
        <f>IF(G98&gt;0,G98*0.12/12,0)</f>
        <v>4975</v>
      </c>
      <c r="J98" s="235" t="s">
        <v>202</v>
      </c>
      <c r="K98" s="236">
        <f>+K96</f>
        <v>17992</v>
      </c>
    </row>
    <row r="99" spans="1:11" ht="15" customHeight="1" x14ac:dyDescent="0.25">
      <c r="A99" s="229">
        <v>5</v>
      </c>
      <c r="B99" s="230"/>
      <c r="C99" s="231"/>
      <c r="D99" s="230">
        <v>44286</v>
      </c>
      <c r="F99" s="237"/>
      <c r="G99" s="237"/>
      <c r="H99" s="25"/>
      <c r="I99" s="237"/>
      <c r="J99" s="238"/>
      <c r="K99" s="239"/>
    </row>
    <row r="100" spans="1:11" ht="15" customHeight="1" thickBot="1" x14ac:dyDescent="0.3">
      <c r="B100" s="208"/>
      <c r="C100" s="240">
        <f>SUM(C95:C99)</f>
        <v>41000</v>
      </c>
      <c r="D100" s="208"/>
      <c r="E100" s="208"/>
      <c r="F100" s="208"/>
      <c r="G100" s="208"/>
      <c r="H100" s="241">
        <f>SUM(H95:H99)</f>
        <v>17992</v>
      </c>
      <c r="J100" s="17"/>
    </row>
    <row r="101" spans="1:11" ht="15" customHeight="1" thickTop="1" thickBot="1" x14ac:dyDescent="0.3">
      <c r="A101" s="242"/>
      <c r="B101" s="243"/>
      <c r="C101" s="244"/>
      <c r="D101" s="243"/>
      <c r="E101" s="243"/>
      <c r="F101" s="243"/>
      <c r="G101" s="243"/>
      <c r="H101" s="243"/>
      <c r="J101" s="17"/>
    </row>
    <row r="102" spans="1:11" ht="15" customHeight="1" x14ac:dyDescent="0.25">
      <c r="B102" s="207" t="s">
        <v>203</v>
      </c>
      <c r="C102" s="245"/>
      <c r="D102" s="208"/>
      <c r="E102" s="208"/>
      <c r="F102" s="208"/>
      <c r="G102" s="208"/>
      <c r="H102" s="224" t="s">
        <v>197</v>
      </c>
      <c r="J102" s="17"/>
    </row>
    <row r="103" spans="1:11" ht="15" customHeight="1" x14ac:dyDescent="0.25">
      <c r="B103" s="214" t="s">
        <v>182</v>
      </c>
      <c r="C103" s="208"/>
      <c r="D103" s="208"/>
      <c r="E103" s="215">
        <f>+G90</f>
        <v>1780559.3</v>
      </c>
      <c r="F103" s="208"/>
      <c r="G103" s="246">
        <v>44287</v>
      </c>
      <c r="H103" s="232">
        <f>F109*0.01</f>
        <v>4975</v>
      </c>
      <c r="J103" s="17"/>
    </row>
    <row r="104" spans="1:11" ht="15" customHeight="1" x14ac:dyDescent="0.25">
      <c r="B104" s="247" t="s">
        <v>186</v>
      </c>
      <c r="C104" s="208"/>
      <c r="D104" s="208"/>
      <c r="E104" s="215">
        <f>+G91</f>
        <v>-1242000</v>
      </c>
      <c r="F104" s="208"/>
      <c r="G104" s="246">
        <v>44317</v>
      </c>
      <c r="H104" s="232">
        <f>+H103</f>
        <v>4975</v>
      </c>
      <c r="J104" s="17"/>
    </row>
    <row r="105" spans="1:11" ht="15" customHeight="1" thickBot="1" x14ac:dyDescent="0.3">
      <c r="B105" s="247"/>
      <c r="C105" s="208"/>
      <c r="D105" s="208"/>
      <c r="E105" s="222">
        <f>E103+E104</f>
        <v>538559.30000000005</v>
      </c>
      <c r="G105" s="246">
        <v>44348</v>
      </c>
      <c r="H105" s="232">
        <f>+H104</f>
        <v>4975</v>
      </c>
      <c r="J105" s="17"/>
    </row>
    <row r="106" spans="1:11" ht="15" customHeight="1" thickTop="1" x14ac:dyDescent="0.25">
      <c r="F106" s="208"/>
      <c r="G106" s="246">
        <v>44378</v>
      </c>
      <c r="H106" s="232">
        <f>+H104</f>
        <v>4975</v>
      </c>
      <c r="J106" s="17"/>
    </row>
    <row r="107" spans="1:11" ht="15" customHeight="1" x14ac:dyDescent="0.25">
      <c r="B107" s="208" t="s">
        <v>204</v>
      </c>
      <c r="C107" s="245"/>
      <c r="D107" s="248">
        <v>0.9</v>
      </c>
      <c r="E107" s="249">
        <f>ROUND(E105*90%,0)</f>
        <v>484703</v>
      </c>
      <c r="F107" s="208"/>
      <c r="G107" s="246">
        <v>44409</v>
      </c>
      <c r="H107" s="232">
        <f>F113*0.01</f>
        <v>3654</v>
      </c>
      <c r="J107" s="17"/>
    </row>
    <row r="108" spans="1:11" ht="15" customHeight="1" x14ac:dyDescent="0.25">
      <c r="B108" s="208" t="s">
        <v>205</v>
      </c>
      <c r="C108" s="245"/>
      <c r="D108" s="208"/>
      <c r="E108" s="215">
        <f>ROUND(+C100,0)</f>
        <v>41000</v>
      </c>
      <c r="F108" s="208"/>
      <c r="G108" s="246">
        <v>44440</v>
      </c>
      <c r="H108" s="250">
        <f>+H107</f>
        <v>3654</v>
      </c>
      <c r="I108" s="251" t="s">
        <v>198</v>
      </c>
      <c r="J108" s="251"/>
      <c r="K108" s="78" t="s">
        <v>206</v>
      </c>
    </row>
    <row r="109" spans="1:11" ht="15" customHeight="1" x14ac:dyDescent="0.25">
      <c r="B109" s="18" t="s">
        <v>207</v>
      </c>
      <c r="C109" s="245"/>
      <c r="D109" s="208"/>
      <c r="E109" s="215">
        <f>E105-E108</f>
        <v>497559.30000000005</v>
      </c>
      <c r="F109" s="215">
        <f>ROUNDDOWN(E109,-2)</f>
        <v>497500</v>
      </c>
      <c r="G109" s="246">
        <v>44470</v>
      </c>
      <c r="H109" s="250">
        <f>+H108</f>
        <v>3654</v>
      </c>
      <c r="J109" s="86" t="s">
        <v>200</v>
      </c>
      <c r="K109" s="252">
        <f>SUM(H103:H109)</f>
        <v>30862</v>
      </c>
    </row>
    <row r="110" spans="1:11" ht="15" customHeight="1" x14ac:dyDescent="0.25">
      <c r="B110" s="253">
        <f>+B62</f>
        <v>44381</v>
      </c>
      <c r="C110" s="208" t="s">
        <v>208</v>
      </c>
      <c r="D110" s="208"/>
      <c r="E110" s="254">
        <f>+G62</f>
        <v>170000</v>
      </c>
      <c r="F110" s="208"/>
      <c r="G110" s="246">
        <v>44501</v>
      </c>
      <c r="J110" s="86" t="s">
        <v>201</v>
      </c>
      <c r="K110" s="252">
        <f>K109+H109</f>
        <v>34516</v>
      </c>
    </row>
    <row r="111" spans="1:11" ht="15" customHeight="1" x14ac:dyDescent="0.25">
      <c r="C111" s="28" t="s">
        <v>209</v>
      </c>
      <c r="E111" s="254">
        <f>H100+SUM(H103:H106)</f>
        <v>37892</v>
      </c>
      <c r="F111" s="208"/>
      <c r="G111" s="246">
        <v>44531</v>
      </c>
      <c r="H111" s="255"/>
      <c r="J111" s="86" t="s">
        <v>202</v>
      </c>
      <c r="K111" s="252">
        <f>K110+H109</f>
        <v>38170</v>
      </c>
    </row>
    <row r="112" spans="1:11" ht="15" customHeight="1" thickBot="1" x14ac:dyDescent="0.3">
      <c r="C112" s="214" t="s">
        <v>210</v>
      </c>
      <c r="E112" s="256">
        <f>E110-E111</f>
        <v>132108</v>
      </c>
      <c r="F112" s="208"/>
      <c r="G112" s="208"/>
      <c r="H112" s="241">
        <f>SUM(H103:H111)</f>
        <v>30862</v>
      </c>
      <c r="J112" s="17"/>
    </row>
    <row r="113" spans="1:12" ht="15" customHeight="1" thickTop="1" x14ac:dyDescent="0.25">
      <c r="B113" s="18" t="s">
        <v>211</v>
      </c>
      <c r="C113" s="214"/>
      <c r="E113" s="257">
        <f>E109-E112</f>
        <v>365451.30000000005</v>
      </c>
      <c r="F113" s="215">
        <f>ROUNDDOWN(E113,-2)</f>
        <v>365400</v>
      </c>
      <c r="G113" s="208"/>
      <c r="H113" s="255"/>
      <c r="J113" s="17"/>
    </row>
    <row r="114" spans="1:12" ht="15" customHeight="1" thickBot="1" x14ac:dyDescent="0.3">
      <c r="A114" s="242"/>
      <c r="B114" s="258"/>
      <c r="C114" s="259"/>
      <c r="D114" s="258"/>
      <c r="E114" s="260"/>
      <c r="F114" s="261"/>
      <c r="G114" s="243"/>
      <c r="H114" s="262"/>
      <c r="J114" s="17"/>
    </row>
    <row r="115" spans="1:12" ht="15" customHeight="1" x14ac:dyDescent="0.25">
      <c r="B115" s="207" t="s">
        <v>212</v>
      </c>
      <c r="C115" s="263"/>
      <c r="D115" s="263"/>
      <c r="E115" s="263"/>
      <c r="F115" s="263"/>
      <c r="G115" s="263"/>
      <c r="H115" s="263"/>
      <c r="I115" s="263"/>
      <c r="J115" s="255"/>
    </row>
    <row r="116" spans="1:12" ht="15" customHeight="1" x14ac:dyDescent="0.25">
      <c r="B116" s="214" t="s">
        <v>182</v>
      </c>
      <c r="C116" s="208"/>
      <c r="D116" s="208"/>
      <c r="E116" s="215">
        <f>+G90</f>
        <v>1780559.3</v>
      </c>
      <c r="F116" s="263"/>
      <c r="G116" s="208"/>
      <c r="H116" s="224" t="s">
        <v>197</v>
      </c>
      <c r="I116" s="263"/>
      <c r="J116" s="255"/>
    </row>
    <row r="117" spans="1:12" ht="15" customHeight="1" x14ac:dyDescent="0.25">
      <c r="B117" s="247" t="s">
        <v>186</v>
      </c>
      <c r="C117" s="208"/>
      <c r="D117" s="208"/>
      <c r="E117" s="215">
        <f>+G91</f>
        <v>-1242000</v>
      </c>
      <c r="F117" s="263"/>
      <c r="G117" s="246">
        <v>44409</v>
      </c>
      <c r="H117" s="232">
        <f>E123*0.01</f>
        <v>3654</v>
      </c>
      <c r="I117" s="263"/>
      <c r="J117" s="255"/>
    </row>
    <row r="118" spans="1:12" ht="15" customHeight="1" x14ac:dyDescent="0.25">
      <c r="B118" s="247" t="s">
        <v>213</v>
      </c>
      <c r="C118" s="208"/>
      <c r="D118" s="208"/>
      <c r="E118" s="215">
        <f>+G61*-1</f>
        <v>-41000</v>
      </c>
      <c r="F118" s="263"/>
      <c r="G118" s="246">
        <v>44440</v>
      </c>
      <c r="H118" s="232">
        <f>+H117</f>
        <v>3654</v>
      </c>
      <c r="I118" s="264" t="s">
        <v>198</v>
      </c>
      <c r="J118" s="264"/>
      <c r="K118" s="265" t="s">
        <v>214</v>
      </c>
    </row>
    <row r="119" spans="1:12" ht="15" customHeight="1" x14ac:dyDescent="0.25">
      <c r="B119" s="247" t="s">
        <v>215</v>
      </c>
      <c r="C119" s="208"/>
      <c r="D119" s="208"/>
      <c r="E119" s="57">
        <f>+H100</f>
        <v>17992</v>
      </c>
      <c r="F119" s="263"/>
      <c r="G119" s="246">
        <v>44470</v>
      </c>
      <c r="H119" s="232">
        <f>+H118</f>
        <v>3654</v>
      </c>
      <c r="I119" s="263"/>
      <c r="J119" s="266" t="s">
        <v>200</v>
      </c>
      <c r="K119" s="267">
        <f>SUM(H117:H119)</f>
        <v>10962</v>
      </c>
    </row>
    <row r="120" spans="1:12" ht="15" customHeight="1" x14ac:dyDescent="0.25">
      <c r="B120" s="247" t="s">
        <v>216</v>
      </c>
      <c r="C120" s="208"/>
      <c r="D120" s="208"/>
      <c r="E120" s="57">
        <f>H103+H104+H105+H106</f>
        <v>19900</v>
      </c>
      <c r="F120" s="263"/>
      <c r="G120" s="246">
        <v>44501</v>
      </c>
      <c r="H120" s="232"/>
      <c r="I120" s="263"/>
      <c r="J120" s="266" t="s">
        <v>201</v>
      </c>
      <c r="K120" s="267">
        <f>K119+H118</f>
        <v>14616</v>
      </c>
    </row>
    <row r="121" spans="1:12" ht="15" customHeight="1" x14ac:dyDescent="0.25">
      <c r="B121" s="247" t="s">
        <v>217</v>
      </c>
      <c r="C121" s="208"/>
      <c r="D121" s="208"/>
      <c r="E121" s="25">
        <f>+G62*-1</f>
        <v>-170000</v>
      </c>
      <c r="F121" s="263"/>
      <c r="G121" s="246">
        <v>44531</v>
      </c>
      <c r="H121" s="232"/>
      <c r="I121" s="263"/>
      <c r="J121" s="266" t="s">
        <v>202</v>
      </c>
      <c r="K121" s="267">
        <f>K120+H119</f>
        <v>18270</v>
      </c>
    </row>
    <row r="122" spans="1:12" ht="15" customHeight="1" thickBot="1" x14ac:dyDescent="0.3">
      <c r="E122" s="222">
        <f>SUM(E116:E121)</f>
        <v>365451.30000000005</v>
      </c>
      <c r="F122" s="263"/>
      <c r="G122" s="268"/>
      <c r="H122" s="241">
        <f>SUM(H117:H121)</f>
        <v>10962</v>
      </c>
      <c r="I122" s="263"/>
      <c r="J122" s="255"/>
    </row>
    <row r="123" spans="1:12" ht="15" customHeight="1" thickTop="1" x14ac:dyDescent="0.25">
      <c r="C123" s="208"/>
      <c r="D123" s="208"/>
      <c r="E123" s="215">
        <f>ROUNDDOWN(+E122,-2)</f>
        <v>365400</v>
      </c>
      <c r="F123" s="263"/>
      <c r="G123" s="263"/>
      <c r="H123" s="263"/>
      <c r="I123" s="263"/>
      <c r="J123" s="255"/>
    </row>
    <row r="124" spans="1:12" ht="15" customHeight="1" x14ac:dyDescent="0.25">
      <c r="C124" s="208"/>
      <c r="D124" s="208"/>
      <c r="E124" s="215"/>
      <c r="F124" s="215"/>
      <c r="G124" s="263"/>
      <c r="H124" s="263"/>
      <c r="I124" s="263"/>
      <c r="J124" s="255"/>
    </row>
    <row r="125" spans="1:12" ht="15" customHeight="1" thickBot="1" x14ac:dyDescent="0.3">
      <c r="C125" s="208"/>
      <c r="D125" s="208"/>
      <c r="E125" s="215"/>
      <c r="F125" s="263"/>
      <c r="G125" s="263"/>
      <c r="H125" s="263"/>
      <c r="I125" s="263"/>
      <c r="J125" s="255"/>
    </row>
    <row r="126" spans="1:12" s="46" customFormat="1" ht="15" customHeight="1" x14ac:dyDescent="0.25">
      <c r="A126" s="269" t="s">
        <v>218</v>
      </c>
      <c r="B126" s="270"/>
      <c r="C126" s="270"/>
      <c r="D126" s="270"/>
      <c r="E126" s="270"/>
      <c r="F126" s="270"/>
      <c r="G126" s="271" t="s">
        <v>219</v>
      </c>
      <c r="H126" s="272"/>
      <c r="J126" s="187"/>
      <c r="K126" s="273"/>
      <c r="L126" s="55"/>
    </row>
    <row r="127" spans="1:12" s="46" customFormat="1" ht="15" customHeight="1" x14ac:dyDescent="0.25">
      <c r="A127" s="274" t="s">
        <v>220</v>
      </c>
      <c r="H127" s="109"/>
      <c r="J127" s="187"/>
      <c r="K127" s="275"/>
      <c r="L127" s="55"/>
    </row>
    <row r="128" spans="1:12" s="46" customFormat="1" ht="15" customHeight="1" x14ac:dyDescent="0.25">
      <c r="A128" s="274" t="s">
        <v>221</v>
      </c>
      <c r="H128" s="109"/>
      <c r="J128" s="187"/>
      <c r="K128" s="275"/>
      <c r="L128" s="55"/>
    </row>
    <row r="129" spans="1:12" s="46" customFormat="1" ht="15" customHeight="1" x14ac:dyDescent="0.2">
      <c r="A129" s="276" t="s">
        <v>222</v>
      </c>
      <c r="B129" s="277" t="s">
        <v>223</v>
      </c>
      <c r="C129" s="277"/>
      <c r="D129" s="277"/>
      <c r="E129" s="277"/>
      <c r="F129" s="277"/>
      <c r="G129" s="277"/>
      <c r="H129" s="278"/>
      <c r="I129" s="29"/>
      <c r="J129" s="187"/>
      <c r="K129" s="279" t="s">
        <v>224</v>
      </c>
      <c r="L129" s="55"/>
    </row>
    <row r="130" spans="1:12" s="46" customFormat="1" ht="26.25" customHeight="1" x14ac:dyDescent="0.2">
      <c r="A130" s="276" t="s">
        <v>225</v>
      </c>
      <c r="B130" s="277" t="s">
        <v>226</v>
      </c>
      <c r="C130" s="277"/>
      <c r="D130" s="277"/>
      <c r="E130" s="277"/>
      <c r="F130" s="277"/>
      <c r="G130" s="277"/>
      <c r="H130" s="278"/>
      <c r="I130" s="29"/>
      <c r="J130" s="187"/>
      <c r="K130" s="279" t="s">
        <v>227</v>
      </c>
      <c r="L130" s="55"/>
    </row>
    <row r="131" spans="1:12" s="46" customFormat="1" ht="26.25" customHeight="1" x14ac:dyDescent="0.2">
      <c r="A131" s="276" t="s">
        <v>228</v>
      </c>
      <c r="B131" s="277" t="s">
        <v>229</v>
      </c>
      <c r="C131" s="277"/>
      <c r="D131" s="277"/>
      <c r="E131" s="277"/>
      <c r="F131" s="277"/>
      <c r="G131" s="277"/>
      <c r="H131" s="278"/>
      <c r="I131" s="29"/>
      <c r="J131" s="187"/>
      <c r="K131" s="279" t="s">
        <v>230</v>
      </c>
      <c r="L131" s="55"/>
    </row>
    <row r="132" spans="1:12" s="46" customFormat="1" ht="26.25" customHeight="1" x14ac:dyDescent="0.2">
      <c r="A132" s="276" t="s">
        <v>231</v>
      </c>
      <c r="B132" s="277" t="s">
        <v>232</v>
      </c>
      <c r="C132" s="277"/>
      <c r="D132" s="277"/>
      <c r="E132" s="277"/>
      <c r="F132" s="277"/>
      <c r="G132" s="277"/>
      <c r="H132" s="278"/>
      <c r="I132" s="29"/>
      <c r="J132" s="187"/>
      <c r="K132" s="279" t="s">
        <v>233</v>
      </c>
      <c r="L132" s="55"/>
    </row>
    <row r="133" spans="1:12" s="46" customFormat="1" ht="15" customHeight="1" x14ac:dyDescent="0.2">
      <c r="A133" s="276" t="s">
        <v>234</v>
      </c>
      <c r="B133" s="277" t="s">
        <v>235</v>
      </c>
      <c r="C133" s="277"/>
      <c r="D133" s="277"/>
      <c r="E133" s="277"/>
      <c r="F133" s="277"/>
      <c r="G133" s="277"/>
      <c r="H133" s="278"/>
      <c r="I133" s="29"/>
      <c r="J133" s="187"/>
      <c r="K133" s="279" t="s">
        <v>236</v>
      </c>
      <c r="L133" s="55"/>
    </row>
    <row r="134" spans="1:12" s="46" customFormat="1" ht="15" customHeight="1" x14ac:dyDescent="0.2">
      <c r="A134" s="276" t="s">
        <v>237</v>
      </c>
      <c r="B134" s="277" t="s">
        <v>238</v>
      </c>
      <c r="C134" s="277"/>
      <c r="D134" s="277"/>
      <c r="E134" s="277"/>
      <c r="F134" s="277"/>
      <c r="G134" s="277"/>
      <c r="H134" s="278"/>
      <c r="I134" s="29"/>
      <c r="J134" s="187"/>
      <c r="K134" s="279" t="s">
        <v>239</v>
      </c>
      <c r="L134" s="55"/>
    </row>
    <row r="135" spans="1:12" s="46" customFormat="1" ht="25.5" customHeight="1" x14ac:dyDescent="0.2">
      <c r="A135" s="280"/>
      <c r="B135" s="281" t="s">
        <v>240</v>
      </c>
      <c r="C135" s="281"/>
      <c r="D135" s="281"/>
      <c r="E135" s="281"/>
      <c r="F135" s="281"/>
      <c r="G135" s="281"/>
      <c r="H135" s="282"/>
      <c r="J135" s="187"/>
    </row>
    <row r="136" spans="1:12" s="46" customFormat="1" ht="15" customHeight="1" thickBot="1" x14ac:dyDescent="0.25">
      <c r="A136" s="283"/>
      <c r="B136" s="284" t="s">
        <v>241</v>
      </c>
      <c r="C136" s="284"/>
      <c r="D136" s="284"/>
      <c r="E136" s="284"/>
      <c r="F136" s="284"/>
      <c r="G136" s="284"/>
      <c r="H136" s="285"/>
      <c r="J136" s="187"/>
    </row>
    <row r="137" spans="1:12" s="46" customFormat="1" ht="15" customHeight="1" thickBot="1" x14ac:dyDescent="0.25">
      <c r="A137" s="286"/>
      <c r="B137" s="287"/>
      <c r="C137" s="287"/>
      <c r="D137" s="287"/>
      <c r="E137" s="287"/>
      <c r="F137" s="287"/>
      <c r="G137" s="287"/>
      <c r="J137" s="187"/>
    </row>
    <row r="138" spans="1:12" s="46" customFormat="1" ht="15" customHeight="1" x14ac:dyDescent="0.25">
      <c r="A138" s="269" t="s">
        <v>218</v>
      </c>
      <c r="B138" s="288"/>
      <c r="C138" s="288"/>
      <c r="D138" s="288"/>
      <c r="E138" s="288"/>
      <c r="F138" s="288"/>
      <c r="G138" s="289" t="s">
        <v>242</v>
      </c>
      <c r="H138" s="290"/>
      <c r="J138" s="187"/>
    </row>
    <row r="139" spans="1:12" ht="15" customHeight="1" x14ac:dyDescent="0.25">
      <c r="A139" s="274" t="s">
        <v>243</v>
      </c>
      <c r="C139" s="192"/>
      <c r="D139" s="192"/>
      <c r="E139" s="192"/>
      <c r="F139" s="291"/>
      <c r="G139" s="292"/>
      <c r="H139" s="116"/>
      <c r="J139" s="187"/>
    </row>
    <row r="140" spans="1:12" ht="15" customHeight="1" x14ac:dyDescent="0.25">
      <c r="A140" s="274" t="s">
        <v>244</v>
      </c>
      <c r="C140" s="192"/>
      <c r="D140" s="192"/>
      <c r="E140" s="192"/>
      <c r="F140" s="291"/>
      <c r="G140" s="292"/>
      <c r="H140" s="116"/>
      <c r="J140" s="187"/>
    </row>
    <row r="141" spans="1:12" ht="15" customHeight="1" x14ac:dyDescent="0.25">
      <c r="A141" s="27"/>
      <c r="B141" s="293" t="s">
        <v>245</v>
      </c>
      <c r="D141" s="293" t="s">
        <v>246</v>
      </c>
      <c r="F141" s="291"/>
      <c r="G141" s="292"/>
      <c r="H141" s="116"/>
      <c r="J141" s="187"/>
    </row>
    <row r="142" spans="1:12" ht="15" customHeight="1" x14ac:dyDescent="0.25">
      <c r="A142" s="27"/>
      <c r="B142" s="293" t="s">
        <v>247</v>
      </c>
      <c r="D142" s="293" t="s">
        <v>248</v>
      </c>
      <c r="F142" s="291"/>
      <c r="G142" s="292"/>
      <c r="H142" s="116"/>
      <c r="J142" s="187"/>
    </row>
    <row r="143" spans="1:12" ht="15" customHeight="1" x14ac:dyDescent="0.25">
      <c r="A143" s="27"/>
      <c r="B143" s="293" t="s">
        <v>249</v>
      </c>
      <c r="D143" s="293" t="s">
        <v>250</v>
      </c>
      <c r="F143" s="291"/>
      <c r="G143" s="292"/>
      <c r="H143" s="116"/>
      <c r="J143" s="187"/>
    </row>
    <row r="144" spans="1:12" ht="15" customHeight="1" x14ac:dyDescent="0.25">
      <c r="A144" s="27"/>
      <c r="B144" s="294" t="s">
        <v>251</v>
      </c>
      <c r="D144" s="293" t="s">
        <v>252</v>
      </c>
      <c r="F144" s="291"/>
      <c r="G144" s="292"/>
      <c r="H144" s="116"/>
      <c r="J144" s="187"/>
    </row>
    <row r="145" spans="1:10" ht="15" customHeight="1" x14ac:dyDescent="0.25">
      <c r="A145" s="27"/>
      <c r="B145" s="293" t="s">
        <v>253</v>
      </c>
      <c r="D145" s="293" t="s">
        <v>254</v>
      </c>
      <c r="F145" s="291"/>
      <c r="G145" s="292"/>
      <c r="H145" s="116"/>
      <c r="J145" s="187"/>
    </row>
    <row r="146" spans="1:10" ht="15" customHeight="1" x14ac:dyDescent="0.25">
      <c r="A146" s="27"/>
      <c r="B146" s="293" t="s">
        <v>255</v>
      </c>
      <c r="D146" s="293" t="s">
        <v>256</v>
      </c>
      <c r="F146" s="291"/>
      <c r="G146" s="292"/>
      <c r="H146" s="116"/>
      <c r="J146" s="17"/>
    </row>
    <row r="147" spans="1:10" ht="15" customHeight="1" x14ac:dyDescent="0.25">
      <c r="A147" s="27"/>
      <c r="B147" s="294" t="s">
        <v>257</v>
      </c>
      <c r="D147" s="293" t="s">
        <v>258</v>
      </c>
      <c r="F147" s="291"/>
      <c r="G147" s="292"/>
      <c r="H147" s="116"/>
      <c r="J147" s="17"/>
    </row>
    <row r="148" spans="1:10" ht="15" customHeight="1" thickBot="1" x14ac:dyDescent="0.3">
      <c r="A148" s="295"/>
      <c r="B148" s="296" t="s">
        <v>259</v>
      </c>
      <c r="C148" s="258"/>
      <c r="D148" s="296" t="s">
        <v>260</v>
      </c>
      <c r="E148" s="258"/>
      <c r="F148" s="258"/>
      <c r="G148" s="258"/>
      <c r="H148" s="297"/>
      <c r="J148" s="17"/>
    </row>
    <row r="149" spans="1:10" ht="15" customHeight="1" thickBot="1" x14ac:dyDescent="0.3">
      <c r="J149" s="17"/>
    </row>
    <row r="150" spans="1:10" ht="15" customHeight="1" x14ac:dyDescent="0.25">
      <c r="B150" s="298" t="s">
        <v>261</v>
      </c>
      <c r="C150" s="299"/>
      <c r="D150" s="300"/>
      <c r="E150" s="301" t="s">
        <v>262</v>
      </c>
      <c r="F150" s="302"/>
      <c r="G150" s="301" t="s">
        <v>263</v>
      </c>
      <c r="H150" s="303"/>
      <c r="J150" s="17"/>
    </row>
    <row r="151" spans="1:10" ht="15" customHeight="1" x14ac:dyDescent="0.25">
      <c r="B151" s="304" t="s">
        <v>11</v>
      </c>
      <c r="C151" s="208"/>
      <c r="D151" s="224"/>
      <c r="E151" s="305" t="s">
        <v>264</v>
      </c>
      <c r="G151" s="305" t="s">
        <v>265</v>
      </c>
      <c r="H151" s="116"/>
      <c r="J151" s="17"/>
    </row>
    <row r="152" spans="1:10" ht="15" customHeight="1" x14ac:dyDescent="0.25">
      <c r="B152" s="304" t="s">
        <v>266</v>
      </c>
      <c r="C152" s="208"/>
      <c r="D152" s="224"/>
      <c r="E152" s="305" t="s">
        <v>267</v>
      </c>
      <c r="G152" s="305" t="s">
        <v>268</v>
      </c>
      <c r="H152" s="116"/>
      <c r="J152" s="17"/>
    </row>
    <row r="153" spans="1:10" ht="15" customHeight="1" x14ac:dyDescent="0.25">
      <c r="B153" s="304" t="s">
        <v>150</v>
      </c>
      <c r="C153" s="208"/>
      <c r="D153" s="224"/>
      <c r="E153" s="305" t="s">
        <v>269</v>
      </c>
      <c r="H153" s="116"/>
      <c r="J153" s="17"/>
    </row>
    <row r="154" spans="1:10" ht="15" customHeight="1" x14ac:dyDescent="0.25">
      <c r="B154" s="304" t="s">
        <v>270</v>
      </c>
      <c r="C154" s="208"/>
      <c r="D154" s="224"/>
      <c r="E154" s="305" t="s">
        <v>271</v>
      </c>
      <c r="H154" s="116"/>
      <c r="J154" s="17"/>
    </row>
    <row r="155" spans="1:10" ht="15" customHeight="1" x14ac:dyDescent="0.25">
      <c r="B155" s="304" t="s">
        <v>272</v>
      </c>
      <c r="C155" s="208"/>
      <c r="D155" s="224"/>
      <c r="H155" s="116"/>
      <c r="J155" s="17"/>
    </row>
    <row r="156" spans="1:10" ht="15" customHeight="1" x14ac:dyDescent="0.25">
      <c r="B156" s="304" t="s">
        <v>273</v>
      </c>
      <c r="C156" s="208"/>
      <c r="D156" s="224"/>
      <c r="H156" s="116"/>
      <c r="J156" s="17"/>
    </row>
    <row r="157" spans="1:10" ht="15" customHeight="1" x14ac:dyDescent="0.25">
      <c r="B157" s="304" t="s">
        <v>274</v>
      </c>
      <c r="C157" s="208"/>
      <c r="D157" s="306">
        <f>SUM(C151:C157)</f>
        <v>0</v>
      </c>
      <c r="H157" s="116"/>
      <c r="J157" s="17"/>
    </row>
    <row r="158" spans="1:10" ht="15" customHeight="1" x14ac:dyDescent="0.25">
      <c r="B158" s="307" t="s">
        <v>275</v>
      </c>
      <c r="C158" s="208"/>
      <c r="D158" s="192"/>
      <c r="E158" s="308"/>
      <c r="H158" s="116"/>
      <c r="J158" s="17"/>
    </row>
    <row r="159" spans="1:10" ht="15" customHeight="1" x14ac:dyDescent="0.25">
      <c r="B159" s="304" t="s">
        <v>276</v>
      </c>
      <c r="C159" s="309"/>
      <c r="D159" s="192"/>
      <c r="H159" s="116"/>
      <c r="J159" s="17"/>
    </row>
    <row r="160" spans="1:10" ht="15" customHeight="1" x14ac:dyDescent="0.25">
      <c r="B160" s="304" t="s">
        <v>277</v>
      </c>
      <c r="C160" s="309"/>
      <c r="D160" s="192"/>
      <c r="H160" s="116"/>
      <c r="J160" s="17"/>
    </row>
    <row r="161" spans="2:10" ht="15" customHeight="1" x14ac:dyDescent="0.25">
      <c r="B161" s="304" t="s">
        <v>278</v>
      </c>
      <c r="C161" s="309"/>
      <c r="D161" s="192">
        <f>SUM(C159:C161)</f>
        <v>0</v>
      </c>
      <c r="H161" s="116"/>
      <c r="J161" s="17"/>
    </row>
    <row r="162" spans="2:10" ht="15" customHeight="1" thickBot="1" x14ac:dyDescent="0.3">
      <c r="B162" s="310" t="s">
        <v>279</v>
      </c>
      <c r="C162" s="311"/>
      <c r="D162" s="312"/>
      <c r="E162" s="258"/>
      <c r="F162" s="258"/>
      <c r="G162" s="258"/>
      <c r="H162" s="297"/>
      <c r="J162" s="17"/>
    </row>
    <row r="163" spans="2:10" ht="15" customHeight="1" x14ac:dyDescent="0.25">
      <c r="B163" s="192"/>
      <c r="D163" s="313">
        <f>D157+D161+D162</f>
        <v>0</v>
      </c>
      <c r="J163" s="17"/>
    </row>
    <row r="164" spans="2:10" ht="15" customHeight="1" x14ac:dyDescent="0.25">
      <c r="J164" s="187"/>
    </row>
  </sheetData>
  <mergeCells count="27">
    <mergeCell ref="B135:H135"/>
    <mergeCell ref="B136:G136"/>
    <mergeCell ref="G138:H138"/>
    <mergeCell ref="B129:H129"/>
    <mergeCell ref="B130:H130"/>
    <mergeCell ref="B131:H131"/>
    <mergeCell ref="B132:H132"/>
    <mergeCell ref="B133:H133"/>
    <mergeCell ref="B134:H134"/>
    <mergeCell ref="K88:L88"/>
    <mergeCell ref="K90:L90"/>
    <mergeCell ref="I95:J95"/>
    <mergeCell ref="I108:J108"/>
    <mergeCell ref="I118:J118"/>
    <mergeCell ref="G126:H126"/>
    <mergeCell ref="C62:E62"/>
    <mergeCell ref="C63:D63"/>
    <mergeCell ref="C64:D64"/>
    <mergeCell ref="A67:I67"/>
    <mergeCell ref="A68:B68"/>
    <mergeCell ref="F68:I68"/>
    <mergeCell ref="A1:C1"/>
    <mergeCell ref="D1:H1"/>
    <mergeCell ref="J1:M1"/>
    <mergeCell ref="A2:C2"/>
    <mergeCell ref="F2:G2"/>
    <mergeCell ref="C61:D61"/>
  </mergeCells>
  <conditionalFormatting sqref="F50">
    <cfRule type="expression" dxfId="0" priority="1" stopIfTrue="1">
      <formula>"""$E$55=0"""</formula>
    </cfRule>
  </conditionalFormatting>
  <printOptions horizontalCentered="1" verticalCentered="1"/>
  <pageMargins left="0.39370078740157483" right="0.19685039370078741" top="0.19685039370078741" bottom="0.19685039370078741" header="0" footer="0"/>
  <pageSetup paperSize="9" scale="84"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vt:lpstr>
      <vt:lpstr>'7'!Print_Area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Tax Doctor</dc:creator>
  <cp:lastModifiedBy>Tax Doctor</cp:lastModifiedBy>
  <dcterms:created xsi:type="dcterms:W3CDTF">2021-10-11T09:27:18Z</dcterms:created>
  <dcterms:modified xsi:type="dcterms:W3CDTF">2021-10-11T09:27:38Z</dcterms:modified>
</cp:coreProperties>
</file>